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1340" windowHeight="8070" tabRatio="665" activeTab="0"/>
  </bookViews>
  <sheets>
    <sheet name="Doc" sheetId="1" r:id="rId1"/>
    <sheet name="S-shaped Monorail Beam" sheetId="2" r:id="rId2"/>
    <sheet name="W-shaped Monorail Beam" sheetId="3" r:id="rId3"/>
  </sheets>
  <definedNames>
    <definedName name="_xlnm.Print_Area" localSheetId="0">'Doc'!$A$1:$J$54</definedName>
    <definedName name="_xlnm.Print_Area" localSheetId="1">'S-shaped Monorail Beam'!$A$1:$J$165</definedName>
    <definedName name="_xlnm.Print_Area" localSheetId="2">'W-shaped Monorail Beam'!$A$1:$J$165</definedName>
  </definedNames>
  <calcPr fullCalcOnLoad="1"/>
</workbook>
</file>

<file path=xl/comments2.xml><?xml version="1.0" encoding="utf-8"?>
<comments xmlns="http://schemas.openxmlformats.org/spreadsheetml/2006/main">
  <authors>
    <author>Bob Dalpiaz</author>
    <author> </author>
    <author>ATOMANOV</author>
  </authors>
  <commentList>
    <comment ref="BA1" authorId="0">
      <text>
        <r>
          <rPr>
            <sz val="8"/>
            <rFont val="Tahoma"/>
            <family val="2"/>
          </rPr>
          <t xml:space="preserve"> </t>
        </r>
        <r>
          <rPr>
            <b/>
            <sz val="8"/>
            <rFont val="Tahoma"/>
            <family val="2"/>
          </rPr>
          <t xml:space="preserve">           "MONORAIL.xls"</t>
        </r>
        <r>
          <rPr>
            <sz val="8"/>
            <rFont val="Tahoma"/>
            <family val="2"/>
          </rPr>
          <t xml:space="preserve">
written by:  Alex Tomanovich, P.E.</t>
        </r>
      </text>
    </comment>
    <comment ref="C17" authorId="1">
      <text>
        <r>
          <rPr>
            <sz val="8"/>
            <rFont val="Arial"/>
            <family val="2"/>
          </rPr>
          <t xml:space="preserve">The unbraced length for the overhang (cantilever) portion, 'Lbo', is often debated.
Here are some recommendations from different sources:
1. Per Fluor Enterprises Guideline 000.215.1257 - "Hoisting Facilities"
    </t>
        </r>
        <r>
          <rPr>
            <sz val="8"/>
            <color indexed="12"/>
            <rFont val="Arial"/>
            <family val="2"/>
          </rPr>
          <t>Lbo = Lo+L/2</t>
        </r>
        <r>
          <rPr>
            <sz val="8"/>
            <rFont val="Arial"/>
            <family val="2"/>
          </rPr>
          <t xml:space="preserve">
2. Per Dupont Standard DB1X - "Design and Installation of Monorail Beams"
   </t>
        </r>
        <r>
          <rPr>
            <sz val="8"/>
            <color indexed="12"/>
            <rFont val="Arial"/>
            <family val="2"/>
          </rPr>
          <t xml:space="preserve"> Lbo = 3*Lo</t>
        </r>
        <r>
          <rPr>
            <sz val="8"/>
            <rFont val="Arial"/>
            <family val="2"/>
          </rPr>
          <t xml:space="preserve">
3. Per ANSI MH27.1 - "Underhung Cranes and Monorail Systems"
    </t>
        </r>
        <r>
          <rPr>
            <sz val="8"/>
            <color indexed="12"/>
            <rFont val="Arial"/>
            <family val="2"/>
          </rPr>
          <t>Lbo = 2*Lo</t>
        </r>
        <r>
          <rPr>
            <sz val="8"/>
            <rFont val="Arial"/>
            <family val="2"/>
          </rPr>
          <t xml:space="preserve">
4. Per British Steel Code B.S. 449, pages 42-44 (1959)
    </t>
        </r>
        <r>
          <rPr>
            <sz val="8"/>
            <color indexed="12"/>
            <rFont val="Arial"/>
            <family val="2"/>
          </rPr>
          <t>Lbo = 2*Lo (for top flange of monorail beam restrained at support)
    Lbo = 3*Lo (for top flange of monorail beam unrestrained at support)</t>
        </r>
        <r>
          <rPr>
            <sz val="8"/>
            <rFont val="Arial"/>
            <family val="2"/>
          </rPr>
          <t xml:space="preserve">
5. Per AISC Journal article by N. Stephen Tanner - "Allowable Bending Stresses
    for Overhanging Monorails" (3rd Quarter, 1985)
   </t>
        </r>
        <r>
          <rPr>
            <sz val="8"/>
            <color indexed="12"/>
            <rFont val="Arial"/>
            <family val="2"/>
          </rPr>
          <t xml:space="preserve"> Lbo = Lo+L (used with a computed value of 'Cbo' from article)</t>
        </r>
      </text>
    </comment>
    <comment ref="BC26" authorId="1">
      <text>
        <r>
          <rPr>
            <sz val="8"/>
            <rFont val="Arial"/>
            <family val="2"/>
          </rPr>
          <t>If this user elects to use this reference for the analysis of the overhang (cantilever) portion of the monorqil beam, then this value of Lbo = Lo+L should be input into cell C17.</t>
        </r>
      </text>
    </comment>
    <comment ref="BG26" authorId="1">
      <text>
        <r>
          <rPr>
            <sz val="8"/>
            <rFont val="Arial"/>
            <family val="2"/>
          </rPr>
          <t>Table 1 is reproduced from page 137 of the referenced article.</t>
        </r>
      </text>
    </comment>
    <comment ref="BC28" authorId="1">
      <text>
        <r>
          <rPr>
            <sz val="8"/>
            <rFont val="Arial"/>
            <family val="2"/>
          </rPr>
          <t>If this user elects to use this reference for the analysis of the overhang (cantilever) portion of the monorail beam, then this computed value of 'Cbo', interpolated from Table 1, should be input into cell C18.</t>
        </r>
      </text>
    </comment>
    <comment ref="F28" authorId="1">
      <text>
        <r>
          <rPr>
            <sz val="8"/>
            <rFont val="Arial"/>
            <family val="2"/>
          </rPr>
          <t>For a monorail consisting of a simple-span with no overhang, 'RR(max)' and 'RL(min)' are determined by positioning the trolley at the right support. 
For a monorail consisting of a simple-span with an overhang, 'RR(max)' and 'RL(min)' are determined by positioning the trolley at the end of the overhang.
The self-weight of the monorail beam is also included.</t>
        </r>
      </text>
    </comment>
    <comment ref="F29" authorId="1">
      <text>
        <r>
          <rPr>
            <sz val="8"/>
            <rFont val="Arial"/>
            <family val="2"/>
          </rPr>
          <t>For a monorail consisting of a simple-span with no overhang, 'RR(max)' and 'RL(min)' are determined by positioning the trolley at the right support. 
For a monorail consisting of a simple-span with an overhang, 'RR(max)' and 'RL(min)' are determined by positioning the trolley at the end of the overhang.
The self-weight of the monorail beam is also included.</t>
        </r>
      </text>
    </comment>
    <comment ref="C15" authorId="2">
      <text>
        <r>
          <rPr>
            <sz val="8"/>
            <rFont val="Tahoma"/>
            <family val="2"/>
          </rPr>
          <t xml:space="preserve"> From AISC 9th Edition ASD Manual, page 5-47:
'Cb' is the allowable stress bending coefficient dependent on the moment gradient, for bending about the X-axis (major axis).  'Cb' is determined as follows:
                 Cb = 1.75+1.05*(Mx1/Mx2)+0.3*(Mx1/Mx2)^2 &lt;= 2.3
where:
  Mx1 = smaller X-axis (major axis) bending moment at either of the ends of the unbraced length
  Mx2 = larger X-axis (major axis) bending moment at either of the ends of the unbraced length
  Mx1/Mx2 = positive for reverse curvature bending (both have same signs)
                  = negative for single curvature bending (both have opposite signs)
Note:
  1. When the bending moment at any point within an unbraced length is larger than that at 
       both ends of this length, then use 'Cb' = 1.0.  
</t>
        </r>
      </text>
    </comment>
    <comment ref="B70" authorId="1">
      <text>
        <r>
          <rPr>
            <sz val="8"/>
            <rFont val="Arial"/>
            <family val="2"/>
          </rPr>
          <t>Note: a Vertical Deflection criteria of L/450 is assumed to be used, and is taken from CMAA Specification No. 74, per Section 1.4.1.2 for "Under-Running Runways".</t>
        </r>
      </text>
    </comment>
  </commentList>
</comments>
</file>

<file path=xl/comments3.xml><?xml version="1.0" encoding="utf-8"?>
<comments xmlns="http://schemas.openxmlformats.org/spreadsheetml/2006/main">
  <authors>
    <author>Bob Dalpiaz</author>
    <author> </author>
    <author>ATOMANOV</author>
  </authors>
  <commentList>
    <comment ref="BA1" authorId="0">
      <text>
        <r>
          <rPr>
            <sz val="8"/>
            <rFont val="Tahoma"/>
            <family val="2"/>
          </rPr>
          <t xml:space="preserve"> </t>
        </r>
        <r>
          <rPr>
            <b/>
            <sz val="8"/>
            <rFont val="Tahoma"/>
            <family val="2"/>
          </rPr>
          <t xml:space="preserve">           "MONORAIL.xls"</t>
        </r>
        <r>
          <rPr>
            <sz val="8"/>
            <rFont val="Tahoma"/>
            <family val="2"/>
          </rPr>
          <t xml:space="preserve">
written by:  Alex Tomanovich, P.E.</t>
        </r>
      </text>
    </comment>
    <comment ref="BC26" authorId="1">
      <text>
        <r>
          <rPr>
            <sz val="8"/>
            <rFont val="Arial"/>
            <family val="2"/>
          </rPr>
          <t>If this user elects to use this reference for the analysis of the overhang (cantilever) portion of the monorail beam, then this value of Lbo = Lo+L should be input into cell C17.</t>
        </r>
      </text>
    </comment>
    <comment ref="BC28" authorId="1">
      <text>
        <r>
          <rPr>
            <sz val="8"/>
            <rFont val="Arial"/>
            <family val="2"/>
          </rPr>
          <t>If this user elects to use this reference for the analysis of the overhang (cantilever) portion of the monorail beam, then this computed value of 'Cbo', interpolated from Table 1, should be input into cell C18.</t>
        </r>
      </text>
    </comment>
    <comment ref="BG26" authorId="1">
      <text>
        <r>
          <rPr>
            <sz val="8"/>
            <rFont val="Arial"/>
            <family val="2"/>
          </rPr>
          <t>Table 1 is reproduced from page 137 of the referenced article.</t>
        </r>
      </text>
    </comment>
    <comment ref="F28" authorId="1">
      <text>
        <r>
          <rPr>
            <sz val="8"/>
            <rFont val="Arial"/>
            <family val="2"/>
          </rPr>
          <t>For a monorail consisting of a simple-span with no overhang, 'RR(max)' and 'RL(min)' are determined by positioning the trolley at the right support. 
For a monorail consisting of a simple-span with an overhang, 'RR(max)' and 'RL(min)' are determined by positioning the trolley at the end of the overhang.
The self-weight of the monorail beam is also included.</t>
        </r>
      </text>
    </comment>
    <comment ref="F29" authorId="1">
      <text>
        <r>
          <rPr>
            <sz val="8"/>
            <rFont val="Arial"/>
            <family val="2"/>
          </rPr>
          <t>For a monorail consisting of a simple-span with no overhang, 'RR(max)' and 'RL(min)' are determined by positioning the trolley at the right support. 
For a monorail consisting of a simple-span with an overhang, 'RR(max)' and 'RL(min)' are determined by positioning the trolley at the end of the overhang.
The self-weight of the monorail beam is also included.</t>
        </r>
      </text>
    </comment>
    <comment ref="C17" authorId="1">
      <text>
        <r>
          <rPr>
            <sz val="8"/>
            <rFont val="Arial"/>
            <family val="2"/>
          </rPr>
          <t xml:space="preserve">The unbraced length for the overhang (cantilever) portion, 'Lbo', is often debated.
Here are some recommendations from different sources:
1. Per Fluor Enterprises Guideline 000.215.1257 - "Hoisting Facilities"
    </t>
        </r>
        <r>
          <rPr>
            <sz val="8"/>
            <color indexed="12"/>
            <rFont val="Arial"/>
            <family val="2"/>
          </rPr>
          <t>Lbo = Lo+L/2</t>
        </r>
        <r>
          <rPr>
            <sz val="8"/>
            <rFont val="Arial"/>
            <family val="2"/>
          </rPr>
          <t xml:space="preserve">
2. Per Dupont Standard DB1X - "Design and Installation of Monorail Beams"
   </t>
        </r>
        <r>
          <rPr>
            <sz val="8"/>
            <color indexed="12"/>
            <rFont val="Arial"/>
            <family val="2"/>
          </rPr>
          <t xml:space="preserve"> Lbo = 3*Lo</t>
        </r>
        <r>
          <rPr>
            <sz val="8"/>
            <rFont val="Arial"/>
            <family val="2"/>
          </rPr>
          <t xml:space="preserve">
3. Per ANSI MH27.1 - "Underhung Cranes and Monorail Systems"
    </t>
        </r>
        <r>
          <rPr>
            <sz val="8"/>
            <color indexed="12"/>
            <rFont val="Arial"/>
            <family val="2"/>
          </rPr>
          <t>Lbo = 2*Lo</t>
        </r>
        <r>
          <rPr>
            <sz val="8"/>
            <rFont val="Arial"/>
            <family val="2"/>
          </rPr>
          <t xml:space="preserve">
4. Per British Steel Code B.S. 449, pages 42-44 (1959)
    </t>
        </r>
        <r>
          <rPr>
            <sz val="8"/>
            <color indexed="12"/>
            <rFont val="Arial"/>
            <family val="2"/>
          </rPr>
          <t>Lbo = 2*Lo (for top flange of monorail beam restrained at support)
    Lbo = 3*Lo (for top flange of monorail beam unrestrained at support)</t>
        </r>
        <r>
          <rPr>
            <sz val="8"/>
            <rFont val="Arial"/>
            <family val="2"/>
          </rPr>
          <t xml:space="preserve">
5. Per AISC Journal article by N. Stephen Tanner - "Allowable Bending Stresses
    for Overhanging Monorails" (3rd Quarter, 1985)
   </t>
        </r>
        <r>
          <rPr>
            <sz val="8"/>
            <color indexed="12"/>
            <rFont val="Arial"/>
            <family val="2"/>
          </rPr>
          <t xml:space="preserve"> Lbo = Lo+L (used with a computed value of 'Cbo' from article)</t>
        </r>
      </text>
    </comment>
    <comment ref="C15" authorId="2">
      <text>
        <r>
          <rPr>
            <sz val="8"/>
            <rFont val="Tahoma"/>
            <family val="2"/>
          </rPr>
          <t xml:space="preserve"> From AISC 9th Edition ASD Manual, page 5-47:
'Cb' is the allowable stress bending coefficient dependent on the moment gradient, for bending about the X-axis (major axis).  'Cb' is determined as follows:
                 Cb = 1.75+1.05*(Mx1/Mx2)+0.3*(Mx1/Mx2)^2 &lt;= 2.3
where:
  Mx1 = smaller X-axis (major axis) bending moment at either of the ends of the unbraced length
  Mx2 = larger X-axis (major axis) bending moment at either of the ends of the unbraced length
  Mx1/Mx2 = positive for reverse curvature bending (both have same signs)
                  = negative for single curvature bending (both have opposite signs)
Note:
  1. When the bending moment at any point within an unbraced length is larger than that at 
       both ends of this length, then use 'Cb' = 1.0.  
</t>
        </r>
      </text>
    </comment>
    <comment ref="B70" authorId="1">
      <text>
        <r>
          <rPr>
            <sz val="8"/>
            <rFont val="Arial"/>
            <family val="2"/>
          </rPr>
          <t>Note: a Vertical Deflection criteria of L/450 is assumed to be used, and is taken from CMAA Specification No. 74, per Section 1.4.1.2 for "Under-Running Runways".</t>
        </r>
      </text>
    </comment>
  </commentList>
</comments>
</file>

<file path=xl/sharedStrings.xml><?xml version="1.0" encoding="utf-8"?>
<sst xmlns="http://schemas.openxmlformats.org/spreadsheetml/2006/main" count="2109" uniqueCount="993">
  <si>
    <r>
      <t>l</t>
    </r>
    <r>
      <rPr>
        <sz val="10"/>
        <rFont val="Arial"/>
        <family val="0"/>
      </rPr>
      <t xml:space="preserve"> =</t>
    </r>
  </si>
  <si>
    <t>tw =</t>
  </si>
  <si>
    <t>Cxo =</t>
  </si>
  <si>
    <t>bf =</t>
  </si>
  <si>
    <t>tf =</t>
  </si>
  <si>
    <t>ta =</t>
  </si>
  <si>
    <t>Cx1 =</t>
  </si>
  <si>
    <t>kips</t>
  </si>
  <si>
    <t>in.</t>
  </si>
  <si>
    <t>ksi</t>
  </si>
  <si>
    <t>Input:</t>
  </si>
  <si>
    <t>Results:</t>
  </si>
  <si>
    <t>kips/wheel</t>
  </si>
  <si>
    <t>Sx =</t>
  </si>
  <si>
    <t>Sy =</t>
  </si>
  <si>
    <t>A =</t>
  </si>
  <si>
    <t>in.^3</t>
  </si>
  <si>
    <t>in.^2</t>
  </si>
  <si>
    <t>Ix =</t>
  </si>
  <si>
    <t>in.^4</t>
  </si>
  <si>
    <t>Iy =</t>
  </si>
  <si>
    <t>S12x35</t>
  </si>
  <si>
    <t>Mx =</t>
  </si>
  <si>
    <t>My =</t>
  </si>
  <si>
    <t>ft-kips</t>
  </si>
  <si>
    <t>fbx =</t>
  </si>
  <si>
    <t>Beam Fy =</t>
  </si>
  <si>
    <t>Shape</t>
  </si>
  <si>
    <t>A</t>
  </si>
  <si>
    <t>d</t>
  </si>
  <si>
    <t>tw</t>
  </si>
  <si>
    <t>bf</t>
  </si>
  <si>
    <t>tf</t>
  </si>
  <si>
    <t>rt</t>
  </si>
  <si>
    <t>d/Af</t>
  </si>
  <si>
    <t>Ix</t>
  </si>
  <si>
    <t>Sx</t>
  </si>
  <si>
    <t>rx</t>
  </si>
  <si>
    <t>Iy</t>
  </si>
  <si>
    <t>Sy</t>
  </si>
  <si>
    <t>ry</t>
  </si>
  <si>
    <t>S3x5.7</t>
  </si>
  <si>
    <t>S3x7.5</t>
  </si>
  <si>
    <t>S4x7.7</t>
  </si>
  <si>
    <t>S4x9.5</t>
  </si>
  <si>
    <t>S5x10</t>
  </si>
  <si>
    <t>S6x12.5</t>
  </si>
  <si>
    <t>d =</t>
  </si>
  <si>
    <t>S5x14.75</t>
  </si>
  <si>
    <t>S7x15.3</t>
  </si>
  <si>
    <t>S6x17.25</t>
  </si>
  <si>
    <t>S8x18.4</t>
  </si>
  <si>
    <t>S7x20</t>
  </si>
  <si>
    <t>S8x23</t>
  </si>
  <si>
    <t>S10x25.4</t>
  </si>
  <si>
    <t>S12x31.8</t>
  </si>
  <si>
    <t>S10x35</t>
  </si>
  <si>
    <t>S12x40.8</t>
  </si>
  <si>
    <t>S15x42.9</t>
  </si>
  <si>
    <t>S12x50</t>
  </si>
  <si>
    <t>S15x50</t>
  </si>
  <si>
    <t>S18x54.7</t>
  </si>
  <si>
    <t>S20x66</t>
  </si>
  <si>
    <t>S18x70</t>
  </si>
  <si>
    <t>S20x75</t>
  </si>
  <si>
    <t>S24x80</t>
  </si>
  <si>
    <t>S20x86</t>
  </si>
  <si>
    <t>S24x90</t>
  </si>
  <si>
    <t>S20x96</t>
  </si>
  <si>
    <t>S24x100</t>
  </si>
  <si>
    <t>S24x106</t>
  </si>
  <si>
    <t>S24x121</t>
  </si>
  <si>
    <t>MONORAIL BEAM ANALYSIS</t>
  </si>
  <si>
    <r>
      <t>l</t>
    </r>
    <r>
      <rPr>
        <sz val="10"/>
        <rFont val="Arial"/>
        <family val="0"/>
      </rPr>
      <t xml:space="preserve"> = 2*a/(bf-tw)</t>
    </r>
  </si>
  <si>
    <t>Job Name:</t>
  </si>
  <si>
    <t>Subject:</t>
  </si>
  <si>
    <t>Job Number:</t>
  </si>
  <si>
    <t>Originator:</t>
  </si>
  <si>
    <t>Checker:</t>
  </si>
  <si>
    <t>Select:</t>
  </si>
  <si>
    <t>Design Parameters:</t>
  </si>
  <si>
    <t>%</t>
  </si>
  <si>
    <t>Parameters and Coefficients:</t>
  </si>
  <si>
    <t>Lifted Load, P =</t>
  </si>
  <si>
    <t>Distance on Flange, a =</t>
  </si>
  <si>
    <t>(continued)</t>
  </si>
  <si>
    <t>Local Flange Bending Stress @ Point 0:</t>
  </si>
  <si>
    <t>Local Flange Bending Stress @ Point 1:</t>
  </si>
  <si>
    <t>Local Flange Bending Stress @ Point 2:</t>
  </si>
  <si>
    <t>Total No. Wheels, Nw =</t>
  </si>
  <si>
    <t>ft.</t>
  </si>
  <si>
    <t>Vert. Impact Factor, Vi =</t>
  </si>
  <si>
    <t>Wheel Spacing, S =</t>
  </si>
  <si>
    <t>plf</t>
  </si>
  <si>
    <t>w =</t>
  </si>
  <si>
    <t>CALCULATIONS:</t>
  </si>
  <si>
    <t>Section Ratios and Parameters:</t>
  </si>
  <si>
    <t>bf/(2*tf) =</t>
  </si>
  <si>
    <t>d/tw =</t>
  </si>
  <si>
    <t>Qs =</t>
  </si>
  <si>
    <t>rt =</t>
  </si>
  <si>
    <t>d/Af =</t>
  </si>
  <si>
    <t>Lc =</t>
  </si>
  <si>
    <t>Lu =</t>
  </si>
  <si>
    <t>Lb/rt =</t>
  </si>
  <si>
    <t>fa/Fy =</t>
  </si>
  <si>
    <t>Fby =</t>
  </si>
  <si>
    <t>Is Lb&lt;=Lc?</t>
  </si>
  <si>
    <t>Is d/tw&lt;=allow?</t>
  </si>
  <si>
    <t>Fbx =</t>
  </si>
  <si>
    <t>Is b/t&lt;=65/SQRT(Fy)?</t>
  </si>
  <si>
    <t>Is b/t&gt;95/SQRT(Fy)?</t>
  </si>
  <si>
    <t>Use: Fbx =</t>
  </si>
  <si>
    <t>Unbraced Length, Lb =</t>
  </si>
  <si>
    <t>Bending Coef., Cb =</t>
  </si>
  <si>
    <t>Horz. Load Factor, HLF =</t>
  </si>
  <si>
    <t>Lb/rt = Lb*12/rt</t>
  </si>
  <si>
    <t>Eqn. F1-1</t>
  </si>
  <si>
    <t>Eqn. F1-5</t>
  </si>
  <si>
    <t>Eqn. F1-6</t>
  </si>
  <si>
    <t>Eqn. F1-7</t>
  </si>
  <si>
    <t>Eqn. F1-8</t>
  </si>
  <si>
    <t>Fbx = 0.66*Fy</t>
  </si>
  <si>
    <t>Eqn. F1-3</t>
  </si>
  <si>
    <t>Fbx = Fy*(0.79-0.002*bf/(2*tf)*SQRT(Fy))</t>
  </si>
  <si>
    <t>Fbx = 0.60*Fy</t>
  </si>
  <si>
    <t>Fbx = (2/3-Fy*(Lb*12/rt)^2/(1530000*Cb)*Fy &lt;= 0.60*Fy</t>
  </si>
  <si>
    <t>Fbx = 170000*Cb/(Lb*12/rt)^2 &lt;= 0.60*Fy</t>
  </si>
  <si>
    <t>Select from F1-6, F1-7, &amp; F1-8</t>
  </si>
  <si>
    <t>fbx = Mx/Sx</t>
  </si>
  <si>
    <t>w</t>
  </si>
  <si>
    <t>S-shape Section Properties from AISC Version 3.0 CD Database (2001) and AISC 9th Edition Manual (1989)</t>
  </si>
  <si>
    <t>Pv =</t>
  </si>
  <si>
    <t>Ph =</t>
  </si>
  <si>
    <t>x =</t>
  </si>
  <si>
    <r>
      <t>l</t>
    </r>
    <r>
      <rPr>
        <sz val="10"/>
        <color indexed="12"/>
        <rFont val="Arial"/>
        <family val="2"/>
      </rPr>
      <t xml:space="preserve"> =</t>
    </r>
  </si>
  <si>
    <r>
      <t>l</t>
    </r>
    <r>
      <rPr>
        <sz val="10"/>
        <color indexed="12"/>
        <rFont val="Arial"/>
        <family val="2"/>
      </rPr>
      <t xml:space="preserve"> = 2*a/(bf-tw)</t>
    </r>
  </si>
  <si>
    <r>
      <t>D</t>
    </r>
    <r>
      <rPr>
        <sz val="10"/>
        <rFont val="Arial"/>
        <family val="2"/>
      </rPr>
      <t>(max)</t>
    </r>
    <r>
      <rPr>
        <sz val="10"/>
        <rFont val="Arial"/>
        <family val="0"/>
      </rPr>
      <t xml:space="preserve"> =</t>
    </r>
  </si>
  <si>
    <r>
      <t>D</t>
    </r>
    <r>
      <rPr>
        <sz val="10"/>
        <color indexed="12"/>
        <rFont val="Arial"/>
        <family val="2"/>
      </rPr>
      <t>(max)</t>
    </r>
    <r>
      <rPr>
        <sz val="10"/>
        <color indexed="12"/>
        <rFont val="Arial"/>
        <family val="2"/>
      </rPr>
      <t xml:space="preserve"> =</t>
    </r>
  </si>
  <si>
    <r>
      <t>D</t>
    </r>
    <r>
      <rPr>
        <sz val="10"/>
        <color indexed="12"/>
        <rFont val="Arial"/>
        <family val="2"/>
      </rPr>
      <t>(ratio)</t>
    </r>
    <r>
      <rPr>
        <sz val="10"/>
        <color indexed="12"/>
        <rFont val="Arial"/>
        <family val="2"/>
      </rPr>
      <t xml:space="preserve"> =</t>
    </r>
  </si>
  <si>
    <r>
      <t>D</t>
    </r>
    <r>
      <rPr>
        <sz val="10"/>
        <color indexed="12"/>
        <rFont val="Arial"/>
        <family val="2"/>
      </rPr>
      <t>(ratio)</t>
    </r>
    <r>
      <rPr>
        <sz val="10"/>
        <color indexed="12"/>
        <rFont val="Arial"/>
        <family val="2"/>
      </rPr>
      <t xml:space="preserve"> = L*12/</t>
    </r>
    <r>
      <rPr>
        <sz val="10"/>
        <color indexed="12"/>
        <rFont val="Symbol"/>
        <family val="1"/>
      </rPr>
      <t>D</t>
    </r>
    <r>
      <rPr>
        <sz val="10"/>
        <color indexed="12"/>
        <rFont val="Arial"/>
        <family val="2"/>
      </rPr>
      <t>(max)</t>
    </r>
  </si>
  <si>
    <r>
      <t>D</t>
    </r>
    <r>
      <rPr>
        <sz val="10"/>
        <color indexed="8"/>
        <rFont val="Arial"/>
        <family val="2"/>
      </rPr>
      <t>(ratio)</t>
    </r>
    <r>
      <rPr>
        <sz val="10"/>
        <color indexed="8"/>
        <rFont val="Arial"/>
        <family val="2"/>
      </rPr>
      <t xml:space="preserve"> =</t>
    </r>
  </si>
  <si>
    <r>
      <t>D</t>
    </r>
    <r>
      <rPr>
        <sz val="10"/>
        <color indexed="8"/>
        <rFont val="Arial"/>
        <family val="2"/>
      </rPr>
      <t>(ratio)</t>
    </r>
    <r>
      <rPr>
        <sz val="10"/>
        <color indexed="8"/>
        <rFont val="Arial"/>
        <family val="2"/>
      </rPr>
      <t xml:space="preserve"> = L*12/</t>
    </r>
    <r>
      <rPr>
        <sz val="10"/>
        <color indexed="8"/>
        <rFont val="Symbol"/>
        <family val="1"/>
      </rPr>
      <t>D</t>
    </r>
    <r>
      <rPr>
        <sz val="10"/>
        <color indexed="8"/>
        <rFont val="Arial"/>
        <family val="2"/>
      </rPr>
      <t>(max)</t>
    </r>
  </si>
  <si>
    <r>
      <t>s</t>
    </r>
    <r>
      <rPr>
        <sz val="10"/>
        <color indexed="12"/>
        <rFont val="Arial"/>
        <family val="2"/>
      </rPr>
      <t>xo =</t>
    </r>
  </si>
  <si>
    <r>
      <t>s</t>
    </r>
    <r>
      <rPr>
        <sz val="10"/>
        <color indexed="12"/>
        <rFont val="Arial"/>
        <family val="2"/>
      </rPr>
      <t>x1 =</t>
    </r>
  </si>
  <si>
    <r>
      <t>s</t>
    </r>
    <r>
      <rPr>
        <sz val="10"/>
        <color indexed="12"/>
        <rFont val="Arial"/>
        <family val="2"/>
      </rPr>
      <t>x2 =</t>
    </r>
  </si>
  <si>
    <r>
      <t>s</t>
    </r>
    <r>
      <rPr>
        <sz val="10"/>
        <color indexed="12"/>
        <rFont val="Arial"/>
        <family val="2"/>
      </rPr>
      <t>x2 = -</t>
    </r>
    <r>
      <rPr>
        <sz val="10"/>
        <color indexed="12"/>
        <rFont val="Symbol"/>
        <family val="1"/>
      </rPr>
      <t>s</t>
    </r>
    <r>
      <rPr>
        <sz val="10"/>
        <color indexed="12"/>
        <rFont val="Arial"/>
        <family val="2"/>
      </rPr>
      <t>xo</t>
    </r>
  </si>
  <si>
    <r>
      <t>s</t>
    </r>
    <r>
      <rPr>
        <sz val="10"/>
        <color indexed="12"/>
        <rFont val="Arial"/>
        <family val="2"/>
      </rPr>
      <t>x =</t>
    </r>
  </si>
  <si>
    <r>
      <t>s</t>
    </r>
    <r>
      <rPr>
        <sz val="10"/>
        <color indexed="12"/>
        <rFont val="Arial"/>
        <family val="2"/>
      </rPr>
      <t>x = 0.75*</t>
    </r>
    <r>
      <rPr>
        <sz val="10"/>
        <color indexed="12"/>
        <rFont val="Symbol"/>
        <family val="1"/>
      </rPr>
      <t>s</t>
    </r>
    <r>
      <rPr>
        <sz val="10"/>
        <color indexed="12"/>
        <rFont val="Arial"/>
        <family val="2"/>
      </rPr>
      <t>xo</t>
    </r>
  </si>
  <si>
    <r>
      <t>s</t>
    </r>
    <r>
      <rPr>
        <sz val="10"/>
        <color indexed="12"/>
        <rFont val="Arial"/>
        <family val="2"/>
      </rPr>
      <t>x = 0.75*</t>
    </r>
    <r>
      <rPr>
        <sz val="10"/>
        <color indexed="12"/>
        <rFont val="Symbol"/>
        <family val="1"/>
      </rPr>
      <t>s</t>
    </r>
    <r>
      <rPr>
        <sz val="10"/>
        <color indexed="12"/>
        <rFont val="Arial"/>
        <family val="2"/>
      </rPr>
      <t>x1</t>
    </r>
  </si>
  <si>
    <r>
      <t>s</t>
    </r>
    <r>
      <rPr>
        <sz val="10"/>
        <color indexed="12"/>
        <rFont val="Arial"/>
        <family val="2"/>
      </rPr>
      <t>x = 0.75*</t>
    </r>
    <r>
      <rPr>
        <sz val="10"/>
        <color indexed="12"/>
        <rFont val="Symbol"/>
        <family val="1"/>
      </rPr>
      <t>s</t>
    </r>
    <r>
      <rPr>
        <sz val="10"/>
        <color indexed="12"/>
        <rFont val="Arial"/>
        <family val="2"/>
      </rPr>
      <t>x2</t>
    </r>
  </si>
  <si>
    <t>Nomenclature</t>
  </si>
  <si>
    <t>Per AISC 9th Edition ASD Manual and CMAA Specification No. 74 (2004)</t>
  </si>
  <si>
    <t>J</t>
  </si>
  <si>
    <t>Cw</t>
  </si>
  <si>
    <t>J =</t>
  </si>
  <si>
    <t>Cw =</t>
  </si>
  <si>
    <t>in.^6</t>
  </si>
  <si>
    <t>e =</t>
  </si>
  <si>
    <t>Mt =</t>
  </si>
  <si>
    <t>at =</t>
  </si>
  <si>
    <t>at = SQRT(E*Cw/(J*G)) , E=29000 ksi  and  G=11200 ksi</t>
  </si>
  <si>
    <t>Mt = Ph*e*at/(2*(d-tf))*TANH(L*12/(2*at))/12</t>
  </si>
  <si>
    <t>Lc = Min. of:  (76*bf/SQRT(Fy))/12  or  (20000/(d/Af*Fy))/12</t>
  </si>
  <si>
    <t>Lu = Max. of:  (20000/(d/Af*Fy))/12  or  (SQRT(102000/Fy)*rt)/12</t>
  </si>
  <si>
    <t>e = d/2 (assume horiz. load taken at bot. flange)</t>
  </si>
  <si>
    <t>fby(total) =</t>
  </si>
  <si>
    <t>S.R. =</t>
  </si>
  <si>
    <t>S.R. = fbx/Fbx+fby(total)/Fby</t>
  </si>
  <si>
    <t>Lateral Flange Bending Moment from Torsion for Simple-Span:</t>
  </si>
  <si>
    <t>Combined Stress Ratio for Simple-Span:</t>
  </si>
  <si>
    <t>Vertical Deflection for Simple-Span:</t>
  </si>
  <si>
    <t>Vertical Deflection for Overhang:</t>
  </si>
  <si>
    <r>
      <t>D</t>
    </r>
    <r>
      <rPr>
        <sz val="10"/>
        <color indexed="12"/>
        <rFont val="Arial"/>
        <family val="2"/>
      </rPr>
      <t>(ratio)</t>
    </r>
    <r>
      <rPr>
        <sz val="10"/>
        <color indexed="12"/>
        <rFont val="Arial"/>
        <family val="2"/>
      </rPr>
      <t xml:space="preserve"> = Lo*12/</t>
    </r>
    <r>
      <rPr>
        <sz val="10"/>
        <color indexed="12"/>
        <rFont val="Symbol"/>
        <family val="1"/>
      </rPr>
      <t>D</t>
    </r>
    <r>
      <rPr>
        <sz val="10"/>
        <color indexed="12"/>
        <rFont val="Arial"/>
        <family val="2"/>
      </rPr>
      <t>(max)</t>
    </r>
  </si>
  <si>
    <t>Overhang Length, Lo =</t>
  </si>
  <si>
    <t>Unbraced Length, Lbo =</t>
  </si>
  <si>
    <r>
      <t>D</t>
    </r>
    <r>
      <rPr>
        <sz val="10"/>
        <color indexed="8"/>
        <rFont val="Arial"/>
        <family val="2"/>
      </rPr>
      <t>(ratio)</t>
    </r>
    <r>
      <rPr>
        <sz val="10"/>
        <color indexed="8"/>
        <rFont val="Arial"/>
        <family val="2"/>
      </rPr>
      <t xml:space="preserve"> = Lo*12/</t>
    </r>
    <r>
      <rPr>
        <sz val="10"/>
        <color indexed="8"/>
        <rFont val="Symbol"/>
        <family val="1"/>
      </rPr>
      <t>D</t>
    </r>
    <r>
      <rPr>
        <sz val="10"/>
        <color indexed="8"/>
        <rFont val="Arial"/>
        <family val="2"/>
      </rPr>
      <t>(max)</t>
    </r>
  </si>
  <si>
    <t>Lateral Flange Bending Moment from Torsion for Overhang:</t>
  </si>
  <si>
    <t>Combined Stress Ratio for Overhang:</t>
  </si>
  <si>
    <t>Mt = Ph*e*at/(d-tf)*TANH(Lo*12/at)/12</t>
  </si>
  <si>
    <t>Lbo/rt =</t>
  </si>
  <si>
    <t>Lbo/rt = Lbo*12/rt</t>
  </si>
  <si>
    <t>c1 =</t>
  </si>
  <si>
    <t>c2 =</t>
  </si>
  <si>
    <t>T =</t>
  </si>
  <si>
    <t>z =</t>
  </si>
  <si>
    <t>in.-kips</t>
  </si>
  <si>
    <t>e = d/2</t>
  </si>
  <si>
    <t>T = Ph*e</t>
  </si>
  <si>
    <t>Wns =</t>
  </si>
  <si>
    <t>Wns = (d-tf)*bf/4</t>
  </si>
  <si>
    <t>c1 = T/(J*G)</t>
  </si>
  <si>
    <t>fby =</t>
  </si>
  <si>
    <t>fby = My/Sy</t>
  </si>
  <si>
    <t>fwns =</t>
  </si>
  <si>
    <t>fwns = Mt*12/(Sy/2) (warping normal stress)</t>
  </si>
  <si>
    <t>fby(total) = fby+fwns</t>
  </si>
  <si>
    <t>be =</t>
  </si>
  <si>
    <t>k</t>
  </si>
  <si>
    <t>k=</t>
  </si>
  <si>
    <t>am =</t>
  </si>
  <si>
    <t>Sf =</t>
  </si>
  <si>
    <t>Mf =</t>
  </si>
  <si>
    <t>Sf = be*tf^2/6</t>
  </si>
  <si>
    <t>Fb =</t>
  </si>
  <si>
    <t>fb =</t>
  </si>
  <si>
    <t>Fb = 0.75*Fy</t>
  </si>
  <si>
    <t>fb = Mf/Sf</t>
  </si>
  <si>
    <t>Monorail Size:</t>
  </si>
  <si>
    <t>For S-shaped Underhung Monorails Analyzed as Simple-Spans with / without Overhang</t>
  </si>
  <si>
    <r>
      <t>D</t>
    </r>
    <r>
      <rPr>
        <sz val="10"/>
        <color indexed="12"/>
        <rFont val="Arial"/>
        <family val="2"/>
      </rPr>
      <t>(allow)</t>
    </r>
    <r>
      <rPr>
        <sz val="10"/>
        <color indexed="12"/>
        <rFont val="Arial"/>
        <family val="2"/>
      </rPr>
      <t xml:space="preserve"> =</t>
    </r>
  </si>
  <si>
    <t>Trolley Weight, Wt =</t>
  </si>
  <si>
    <t>Hoist Weight, Wh =</t>
  </si>
  <si>
    <t>Ph = HLF*P (horizontal load)</t>
  </si>
  <si>
    <r>
      <t>D</t>
    </r>
    <r>
      <rPr>
        <sz val="10"/>
        <color indexed="12"/>
        <rFont val="Arial"/>
        <family val="2"/>
      </rPr>
      <t>(allow)</t>
    </r>
    <r>
      <rPr>
        <sz val="10"/>
        <color indexed="12"/>
        <rFont val="Arial"/>
        <family val="2"/>
      </rPr>
      <t xml:space="preserve"> = L*12/450</t>
    </r>
  </si>
  <si>
    <r>
      <t>D</t>
    </r>
    <r>
      <rPr>
        <sz val="10"/>
        <color indexed="8"/>
        <rFont val="Arial"/>
        <family val="2"/>
      </rPr>
      <t>(allow)</t>
    </r>
    <r>
      <rPr>
        <sz val="10"/>
        <color indexed="8"/>
        <rFont val="Arial"/>
        <family val="2"/>
      </rPr>
      <t xml:space="preserve"> =</t>
    </r>
  </si>
  <si>
    <r>
      <t>D</t>
    </r>
    <r>
      <rPr>
        <sz val="10"/>
        <color indexed="8"/>
        <rFont val="Arial"/>
        <family val="2"/>
      </rPr>
      <t>(allow)</t>
    </r>
    <r>
      <rPr>
        <sz val="10"/>
        <color indexed="8"/>
        <rFont val="Arial"/>
        <family val="2"/>
      </rPr>
      <t xml:space="preserve"> = L*12/450</t>
    </r>
  </si>
  <si>
    <r>
      <t>D</t>
    </r>
    <r>
      <rPr>
        <sz val="10"/>
        <color indexed="12"/>
        <rFont val="Arial"/>
        <family val="2"/>
      </rPr>
      <t>(allow)</t>
    </r>
    <r>
      <rPr>
        <sz val="10"/>
        <color indexed="12"/>
        <rFont val="Arial"/>
        <family val="2"/>
      </rPr>
      <t xml:space="preserve"> = Lo*12/450</t>
    </r>
  </si>
  <si>
    <r>
      <t>D</t>
    </r>
    <r>
      <rPr>
        <sz val="10"/>
        <color indexed="8"/>
        <rFont val="Arial"/>
        <family val="2"/>
      </rPr>
      <t>(allow)</t>
    </r>
    <r>
      <rPr>
        <sz val="10"/>
        <color indexed="8"/>
        <rFont val="Arial"/>
        <family val="2"/>
      </rPr>
      <t xml:space="preserve"> = Lo*12/450</t>
    </r>
  </si>
  <si>
    <t>z = L*12/2 (calculated at midspan)</t>
  </si>
  <si>
    <t>z = Lo*12 (calculated at fixed end of cantilever)</t>
  </si>
  <si>
    <r>
      <t xml:space="preserve">Notes: Values of "L", "Lo", &amp; "S" in equation above for </t>
    </r>
    <r>
      <rPr>
        <sz val="10"/>
        <color indexed="12"/>
        <rFont val="Symbol"/>
        <family val="1"/>
      </rPr>
      <t>D</t>
    </r>
    <r>
      <rPr>
        <sz val="10"/>
        <color indexed="12"/>
        <rFont val="Arial"/>
        <family val="2"/>
      </rPr>
      <t>(max) are multiplied by 12.</t>
    </r>
  </si>
  <si>
    <t>SUMMARY OF CHECKS:</t>
  </si>
  <si>
    <t>Row No.:</t>
  </si>
  <si>
    <t>Stress Ratio:</t>
  </si>
  <si>
    <t>SR =</t>
  </si>
  <si>
    <t>Simple-Span Stresses and Deflection:</t>
  </si>
  <si>
    <t>Overhang Stresses and Deflection:</t>
  </si>
  <si>
    <t>Pv = P+Wh+Wt (without vertical impact)</t>
  </si>
  <si>
    <r>
      <t>s</t>
    </r>
    <r>
      <rPr>
        <sz val="10"/>
        <color indexed="12"/>
        <rFont val="Arial"/>
        <family val="2"/>
      </rPr>
      <t>to =</t>
    </r>
  </si>
  <si>
    <r>
      <t>s</t>
    </r>
    <r>
      <rPr>
        <sz val="10"/>
        <color indexed="12"/>
        <rFont val="Arial"/>
        <family val="2"/>
      </rPr>
      <t>t1 =</t>
    </r>
  </si>
  <si>
    <r>
      <t>s</t>
    </r>
    <r>
      <rPr>
        <sz val="10"/>
        <color indexed="12"/>
        <rFont val="Arial"/>
        <family val="2"/>
      </rPr>
      <t>t2 =</t>
    </r>
  </si>
  <si>
    <t>Bending Moments for Simple-Span:</t>
  </si>
  <si>
    <t>Bending Moments for Overhang:</t>
  </si>
  <si>
    <t>Pw =</t>
  </si>
  <si>
    <t>Pw = Pv/Nw (load per trolley wheel)</t>
  </si>
  <si>
    <t>X-axis Stresses for Simple-Span:</t>
  </si>
  <si>
    <t>Y-axis Stresses for Simple-Span:</t>
  </si>
  <si>
    <t>X-axis Stresses for Overhang:</t>
  </si>
  <si>
    <t>Y-axis Stresses for Overhang:</t>
  </si>
  <si>
    <t>tf2 =</t>
  </si>
  <si>
    <t>am = (bf/2-tw/2)-(k-tf2)  (where: k-tf2 = radius of fillet)</t>
  </si>
  <si>
    <t>tf2 = tf+(bf/2-tw/2)/2*(1/6)  (flange thk. at web based on 1:6 slope of flange)</t>
  </si>
  <si>
    <r>
      <t>Cx1 = 3.965-4.835*</t>
    </r>
    <r>
      <rPr>
        <sz val="10"/>
        <color indexed="12"/>
        <rFont val="Symbol"/>
        <family val="1"/>
      </rPr>
      <t>l</t>
    </r>
    <r>
      <rPr>
        <sz val="10"/>
        <color indexed="12"/>
        <rFont val="Arial"/>
        <family val="2"/>
      </rPr>
      <t>-3.965*e^(-2.675*</t>
    </r>
    <r>
      <rPr>
        <sz val="10"/>
        <color indexed="12"/>
        <rFont val="Symbol"/>
        <family val="1"/>
      </rPr>
      <t>l</t>
    </r>
    <r>
      <rPr>
        <sz val="10"/>
        <color indexed="12"/>
        <rFont val="Arial"/>
        <family val="2"/>
      </rPr>
      <t>)</t>
    </r>
  </si>
  <si>
    <r>
      <t>Cx1 = 3.965-4.835*</t>
    </r>
    <r>
      <rPr>
        <sz val="10"/>
        <rFont val="Symbol"/>
        <family val="1"/>
      </rPr>
      <t>l</t>
    </r>
    <r>
      <rPr>
        <sz val="10"/>
        <rFont val="Arial"/>
        <family val="0"/>
      </rPr>
      <t>-3.965*e^(-2.675*</t>
    </r>
    <r>
      <rPr>
        <sz val="10"/>
        <rFont val="Symbol"/>
        <family val="1"/>
      </rPr>
      <t>l</t>
    </r>
    <r>
      <rPr>
        <sz val="10"/>
        <rFont val="Arial"/>
        <family val="0"/>
      </rPr>
      <t>)</t>
    </r>
  </si>
  <si>
    <t>Czo =</t>
  </si>
  <si>
    <t>Cz1 =</t>
  </si>
  <si>
    <t>(Note: torsion is neglected)</t>
  </si>
  <si>
    <r>
      <t>s</t>
    </r>
    <r>
      <rPr>
        <sz val="10"/>
        <color indexed="12"/>
        <rFont val="Arial"/>
        <family val="2"/>
      </rPr>
      <t>zo =</t>
    </r>
  </si>
  <si>
    <r>
      <t>s</t>
    </r>
    <r>
      <rPr>
        <sz val="10"/>
        <color indexed="12"/>
        <rFont val="Arial"/>
        <family val="2"/>
      </rPr>
      <t>xo = Cxo*Pw/ta^2</t>
    </r>
  </si>
  <si>
    <r>
      <t>s</t>
    </r>
    <r>
      <rPr>
        <sz val="10"/>
        <color indexed="12"/>
        <rFont val="Arial"/>
        <family val="2"/>
      </rPr>
      <t>zo = Czo*Pw/ta^2</t>
    </r>
  </si>
  <si>
    <r>
      <t>s</t>
    </r>
    <r>
      <rPr>
        <sz val="10"/>
        <color indexed="12"/>
        <rFont val="Arial"/>
        <family val="2"/>
      </rPr>
      <t>x1 = Cx1*Pw/ta^2</t>
    </r>
  </si>
  <si>
    <r>
      <t>s</t>
    </r>
    <r>
      <rPr>
        <sz val="10"/>
        <color indexed="12"/>
        <rFont val="Arial"/>
        <family val="2"/>
      </rPr>
      <t>z1 =</t>
    </r>
  </si>
  <si>
    <r>
      <t>s</t>
    </r>
    <r>
      <rPr>
        <sz val="10"/>
        <color indexed="12"/>
        <rFont val="Arial"/>
        <family val="2"/>
      </rPr>
      <t>z1 = Cz1*Pw/ta^2</t>
    </r>
  </si>
  <si>
    <r>
      <t>s</t>
    </r>
    <r>
      <rPr>
        <sz val="10"/>
        <color indexed="12"/>
        <rFont val="Arial"/>
        <family val="2"/>
      </rPr>
      <t>z2 =</t>
    </r>
  </si>
  <si>
    <r>
      <t>s</t>
    </r>
    <r>
      <rPr>
        <sz val="10"/>
        <color indexed="12"/>
        <rFont val="Arial"/>
        <family val="2"/>
      </rPr>
      <t>z2 = -</t>
    </r>
    <r>
      <rPr>
        <sz val="10"/>
        <color indexed="12"/>
        <rFont val="Symbol"/>
        <family val="1"/>
      </rPr>
      <t>s</t>
    </r>
    <r>
      <rPr>
        <sz val="10"/>
        <color indexed="12"/>
        <rFont val="Arial"/>
        <family val="2"/>
      </rPr>
      <t>zo</t>
    </r>
  </si>
  <si>
    <r>
      <t>s</t>
    </r>
    <r>
      <rPr>
        <sz val="10"/>
        <color indexed="12"/>
        <rFont val="Arial"/>
        <family val="2"/>
      </rPr>
      <t>z =</t>
    </r>
  </si>
  <si>
    <r>
      <t>t</t>
    </r>
    <r>
      <rPr>
        <sz val="10"/>
        <color indexed="12"/>
        <rFont val="Arial"/>
        <family val="2"/>
      </rPr>
      <t>xz =</t>
    </r>
  </si>
  <si>
    <r>
      <t>s</t>
    </r>
    <r>
      <rPr>
        <sz val="10"/>
        <color indexed="12"/>
        <rFont val="Arial"/>
        <family val="2"/>
      </rPr>
      <t>t1 = SQRT(</t>
    </r>
    <r>
      <rPr>
        <sz val="10"/>
        <color indexed="12"/>
        <rFont val="Symbol"/>
        <family val="1"/>
      </rPr>
      <t>s</t>
    </r>
    <r>
      <rPr>
        <sz val="10"/>
        <color indexed="12"/>
        <rFont val="Arial"/>
        <family val="2"/>
      </rPr>
      <t>x^2+</t>
    </r>
    <r>
      <rPr>
        <sz val="10"/>
        <color indexed="12"/>
        <rFont val="Symbol"/>
        <family val="1"/>
      </rPr>
      <t>s</t>
    </r>
    <r>
      <rPr>
        <sz val="10"/>
        <color indexed="12"/>
        <rFont val="Arial"/>
        <family val="2"/>
      </rPr>
      <t>z^2-</t>
    </r>
    <r>
      <rPr>
        <sz val="10"/>
        <color indexed="12"/>
        <rFont val="Symbol"/>
        <family val="1"/>
      </rPr>
      <t>s</t>
    </r>
    <r>
      <rPr>
        <sz val="10"/>
        <color indexed="12"/>
        <rFont val="Arial"/>
        <family val="2"/>
      </rPr>
      <t>x*</t>
    </r>
    <r>
      <rPr>
        <sz val="10"/>
        <color indexed="12"/>
        <rFont val="Symbol"/>
        <family val="1"/>
      </rPr>
      <t>s</t>
    </r>
    <r>
      <rPr>
        <sz val="10"/>
        <color indexed="12"/>
        <rFont val="Arial"/>
        <family val="2"/>
      </rPr>
      <t>z+3*</t>
    </r>
    <r>
      <rPr>
        <sz val="10"/>
        <color indexed="12"/>
        <rFont val="Symbol"/>
        <family val="1"/>
      </rPr>
      <t>t</t>
    </r>
    <r>
      <rPr>
        <sz val="10"/>
        <color indexed="12"/>
        <rFont val="Arial"/>
        <family val="2"/>
      </rPr>
      <t>xz^2)</t>
    </r>
  </si>
  <si>
    <r>
      <t>s</t>
    </r>
    <r>
      <rPr>
        <sz val="10"/>
        <color indexed="12"/>
        <rFont val="Arial"/>
        <family val="2"/>
      </rPr>
      <t>to = SQRT(</t>
    </r>
    <r>
      <rPr>
        <sz val="10"/>
        <color indexed="12"/>
        <rFont val="Symbol"/>
        <family val="1"/>
      </rPr>
      <t>s</t>
    </r>
    <r>
      <rPr>
        <sz val="10"/>
        <color indexed="12"/>
        <rFont val="Arial"/>
        <family val="2"/>
      </rPr>
      <t>x^2+</t>
    </r>
    <r>
      <rPr>
        <sz val="10"/>
        <color indexed="12"/>
        <rFont val="Symbol"/>
        <family val="1"/>
      </rPr>
      <t>s</t>
    </r>
    <r>
      <rPr>
        <sz val="10"/>
        <color indexed="12"/>
        <rFont val="Arial"/>
        <family val="2"/>
      </rPr>
      <t>z^2-</t>
    </r>
    <r>
      <rPr>
        <sz val="10"/>
        <color indexed="12"/>
        <rFont val="Symbol"/>
        <family val="1"/>
      </rPr>
      <t>s</t>
    </r>
    <r>
      <rPr>
        <sz val="10"/>
        <color indexed="12"/>
        <rFont val="Arial"/>
        <family val="2"/>
      </rPr>
      <t>x*</t>
    </r>
    <r>
      <rPr>
        <sz val="10"/>
        <color indexed="12"/>
        <rFont val="Symbol"/>
        <family val="1"/>
      </rPr>
      <t>s</t>
    </r>
    <r>
      <rPr>
        <sz val="10"/>
        <color indexed="12"/>
        <rFont val="Arial"/>
        <family val="2"/>
      </rPr>
      <t>z+3*</t>
    </r>
    <r>
      <rPr>
        <sz val="10"/>
        <color indexed="12"/>
        <rFont val="Symbol"/>
        <family val="1"/>
      </rPr>
      <t>t</t>
    </r>
    <r>
      <rPr>
        <sz val="10"/>
        <color indexed="12"/>
        <rFont val="Arial"/>
        <family val="2"/>
      </rPr>
      <t>xz^2)</t>
    </r>
  </si>
  <si>
    <r>
      <t>s</t>
    </r>
    <r>
      <rPr>
        <sz val="10"/>
        <color indexed="12"/>
        <rFont val="Arial"/>
        <family val="2"/>
      </rPr>
      <t>t2 = SQRT(</t>
    </r>
    <r>
      <rPr>
        <sz val="10"/>
        <color indexed="12"/>
        <rFont val="Symbol"/>
        <family val="1"/>
      </rPr>
      <t>s</t>
    </r>
    <r>
      <rPr>
        <sz val="10"/>
        <color indexed="12"/>
        <rFont val="Arial"/>
        <family val="2"/>
      </rPr>
      <t>x^2+</t>
    </r>
    <r>
      <rPr>
        <sz val="10"/>
        <color indexed="12"/>
        <rFont val="Symbol"/>
        <family val="1"/>
      </rPr>
      <t>s</t>
    </r>
    <r>
      <rPr>
        <sz val="10"/>
        <color indexed="12"/>
        <rFont val="Arial"/>
        <family val="2"/>
      </rPr>
      <t>z^2-</t>
    </r>
    <r>
      <rPr>
        <sz val="10"/>
        <color indexed="12"/>
        <rFont val="Symbol"/>
        <family val="1"/>
      </rPr>
      <t>s</t>
    </r>
    <r>
      <rPr>
        <sz val="10"/>
        <color indexed="12"/>
        <rFont val="Arial"/>
        <family val="2"/>
      </rPr>
      <t>x*</t>
    </r>
    <r>
      <rPr>
        <sz val="10"/>
        <color indexed="12"/>
        <rFont val="Symbol"/>
        <family val="1"/>
      </rPr>
      <t>s</t>
    </r>
    <r>
      <rPr>
        <sz val="10"/>
        <color indexed="12"/>
        <rFont val="Arial"/>
        <family val="2"/>
      </rPr>
      <t>z+3*</t>
    </r>
    <r>
      <rPr>
        <sz val="10"/>
        <color indexed="12"/>
        <rFont val="Symbol"/>
        <family val="1"/>
      </rPr>
      <t>t</t>
    </r>
    <r>
      <rPr>
        <sz val="10"/>
        <color indexed="12"/>
        <rFont val="Arial"/>
        <family val="2"/>
      </rPr>
      <t>xz^2)</t>
    </r>
  </si>
  <si>
    <r>
      <t>s</t>
    </r>
    <r>
      <rPr>
        <sz val="10"/>
        <color indexed="8"/>
        <rFont val="Arial"/>
        <family val="2"/>
      </rPr>
      <t>xo =</t>
    </r>
  </si>
  <si>
    <r>
      <t>s</t>
    </r>
    <r>
      <rPr>
        <sz val="10"/>
        <color indexed="8"/>
        <rFont val="Arial"/>
        <family val="2"/>
      </rPr>
      <t>zo =</t>
    </r>
  </si>
  <si>
    <r>
      <t>s</t>
    </r>
    <r>
      <rPr>
        <sz val="10"/>
        <color indexed="8"/>
        <rFont val="Arial"/>
        <family val="2"/>
      </rPr>
      <t>x1 =</t>
    </r>
  </si>
  <si>
    <r>
      <t>s</t>
    </r>
    <r>
      <rPr>
        <sz val="10"/>
        <color indexed="8"/>
        <rFont val="Arial"/>
        <family val="2"/>
      </rPr>
      <t>z1 =</t>
    </r>
  </si>
  <si>
    <r>
      <t>s</t>
    </r>
    <r>
      <rPr>
        <sz val="10"/>
        <color indexed="8"/>
        <rFont val="Arial"/>
        <family val="2"/>
      </rPr>
      <t>x2 =</t>
    </r>
  </si>
  <si>
    <r>
      <t>s</t>
    </r>
    <r>
      <rPr>
        <sz val="10"/>
        <color indexed="8"/>
        <rFont val="Arial"/>
        <family val="2"/>
      </rPr>
      <t>z2 =</t>
    </r>
  </si>
  <si>
    <r>
      <t>s</t>
    </r>
    <r>
      <rPr>
        <sz val="10"/>
        <color indexed="8"/>
        <rFont val="Arial"/>
        <family val="2"/>
      </rPr>
      <t>z =</t>
    </r>
  </si>
  <si>
    <r>
      <t>s</t>
    </r>
    <r>
      <rPr>
        <sz val="10"/>
        <color indexed="8"/>
        <rFont val="Arial"/>
        <family val="2"/>
      </rPr>
      <t>x =</t>
    </r>
  </si>
  <si>
    <r>
      <t>t</t>
    </r>
    <r>
      <rPr>
        <sz val="10"/>
        <color indexed="8"/>
        <rFont val="Arial"/>
        <family val="2"/>
      </rPr>
      <t>xz =</t>
    </r>
  </si>
  <si>
    <r>
      <t>s</t>
    </r>
    <r>
      <rPr>
        <sz val="10"/>
        <color indexed="8"/>
        <rFont val="Arial"/>
        <family val="2"/>
      </rPr>
      <t>to =</t>
    </r>
  </si>
  <si>
    <r>
      <t>s</t>
    </r>
    <r>
      <rPr>
        <sz val="10"/>
        <color indexed="8"/>
        <rFont val="Arial"/>
        <family val="2"/>
      </rPr>
      <t>t1 =</t>
    </r>
  </si>
  <si>
    <r>
      <t>s</t>
    </r>
    <r>
      <rPr>
        <sz val="10"/>
        <color indexed="8"/>
        <rFont val="Arial"/>
        <family val="2"/>
      </rPr>
      <t>t2 =</t>
    </r>
  </si>
  <si>
    <r>
      <t>s</t>
    </r>
    <r>
      <rPr>
        <sz val="10"/>
        <color indexed="8"/>
        <rFont val="Arial"/>
        <family val="2"/>
      </rPr>
      <t>xo = Cxo*Pw/ta^2</t>
    </r>
  </si>
  <si>
    <r>
      <t>s</t>
    </r>
    <r>
      <rPr>
        <sz val="10"/>
        <color indexed="8"/>
        <rFont val="Arial"/>
        <family val="2"/>
      </rPr>
      <t>zo = Czo*Pw/ta^2</t>
    </r>
  </si>
  <si>
    <r>
      <t>s</t>
    </r>
    <r>
      <rPr>
        <sz val="10"/>
        <color indexed="8"/>
        <rFont val="Arial"/>
        <family val="2"/>
      </rPr>
      <t>x1 = Cx1*Pw/ta^2</t>
    </r>
  </si>
  <si>
    <r>
      <t>s</t>
    </r>
    <r>
      <rPr>
        <sz val="10"/>
        <color indexed="8"/>
        <rFont val="Arial"/>
        <family val="2"/>
      </rPr>
      <t>z1 = Cz1*Pw/ta^2</t>
    </r>
  </si>
  <si>
    <r>
      <t>s</t>
    </r>
    <r>
      <rPr>
        <sz val="10"/>
        <color indexed="8"/>
        <rFont val="Arial"/>
        <family val="2"/>
      </rPr>
      <t>x2 = -</t>
    </r>
    <r>
      <rPr>
        <sz val="10"/>
        <color indexed="8"/>
        <rFont val="Symbol"/>
        <family val="1"/>
      </rPr>
      <t>s</t>
    </r>
    <r>
      <rPr>
        <sz val="10"/>
        <color indexed="8"/>
        <rFont val="Arial"/>
        <family val="2"/>
      </rPr>
      <t>xo</t>
    </r>
  </si>
  <si>
    <r>
      <t>s</t>
    </r>
    <r>
      <rPr>
        <sz val="10"/>
        <color indexed="8"/>
        <rFont val="Arial"/>
        <family val="2"/>
      </rPr>
      <t>z2 = -</t>
    </r>
    <r>
      <rPr>
        <sz val="10"/>
        <color indexed="8"/>
        <rFont val="Symbol"/>
        <family val="1"/>
      </rPr>
      <t>s</t>
    </r>
    <r>
      <rPr>
        <sz val="10"/>
        <color indexed="8"/>
        <rFont val="Arial"/>
        <family val="2"/>
      </rPr>
      <t>zo</t>
    </r>
  </si>
  <si>
    <r>
      <t>s</t>
    </r>
    <r>
      <rPr>
        <sz val="10"/>
        <color indexed="8"/>
        <rFont val="Arial"/>
        <family val="2"/>
      </rPr>
      <t>x = 0.75*</t>
    </r>
    <r>
      <rPr>
        <sz val="10"/>
        <color indexed="8"/>
        <rFont val="Symbol"/>
        <family val="1"/>
      </rPr>
      <t>s</t>
    </r>
    <r>
      <rPr>
        <sz val="10"/>
        <color indexed="8"/>
        <rFont val="Arial"/>
        <family val="2"/>
      </rPr>
      <t>xo</t>
    </r>
  </si>
  <si>
    <r>
      <t>s</t>
    </r>
    <r>
      <rPr>
        <sz val="10"/>
        <color indexed="8"/>
        <rFont val="Arial"/>
        <family val="2"/>
      </rPr>
      <t>to = SQRT(</t>
    </r>
    <r>
      <rPr>
        <sz val="10"/>
        <color indexed="8"/>
        <rFont val="Symbol"/>
        <family val="1"/>
      </rPr>
      <t>s</t>
    </r>
    <r>
      <rPr>
        <sz val="10"/>
        <color indexed="8"/>
        <rFont val="Arial"/>
        <family val="2"/>
      </rPr>
      <t>x^2+</t>
    </r>
    <r>
      <rPr>
        <sz val="10"/>
        <color indexed="8"/>
        <rFont val="Symbol"/>
        <family val="1"/>
      </rPr>
      <t>s</t>
    </r>
    <r>
      <rPr>
        <sz val="10"/>
        <color indexed="8"/>
        <rFont val="Arial"/>
        <family val="2"/>
      </rPr>
      <t>z^2-</t>
    </r>
    <r>
      <rPr>
        <sz val="10"/>
        <color indexed="8"/>
        <rFont val="Symbol"/>
        <family val="1"/>
      </rPr>
      <t>s</t>
    </r>
    <r>
      <rPr>
        <sz val="10"/>
        <color indexed="8"/>
        <rFont val="Arial"/>
        <family val="2"/>
      </rPr>
      <t>x*</t>
    </r>
    <r>
      <rPr>
        <sz val="10"/>
        <color indexed="8"/>
        <rFont val="Symbol"/>
        <family val="1"/>
      </rPr>
      <t>s</t>
    </r>
    <r>
      <rPr>
        <sz val="10"/>
        <color indexed="8"/>
        <rFont val="Arial"/>
        <family val="2"/>
      </rPr>
      <t>z+3*</t>
    </r>
    <r>
      <rPr>
        <sz val="10"/>
        <color indexed="8"/>
        <rFont val="Symbol"/>
        <family val="1"/>
      </rPr>
      <t>t</t>
    </r>
    <r>
      <rPr>
        <sz val="10"/>
        <color indexed="8"/>
        <rFont val="Arial"/>
        <family val="2"/>
      </rPr>
      <t>xz^2)</t>
    </r>
  </si>
  <si>
    <r>
      <t>s</t>
    </r>
    <r>
      <rPr>
        <sz val="10"/>
        <color indexed="8"/>
        <rFont val="Arial"/>
        <family val="2"/>
      </rPr>
      <t>x = 0.75*</t>
    </r>
    <r>
      <rPr>
        <sz val="10"/>
        <color indexed="8"/>
        <rFont val="Symbol"/>
        <family val="1"/>
      </rPr>
      <t>s</t>
    </r>
    <r>
      <rPr>
        <sz val="10"/>
        <color indexed="8"/>
        <rFont val="Arial"/>
        <family val="2"/>
      </rPr>
      <t>x1</t>
    </r>
  </si>
  <si>
    <r>
      <t>s</t>
    </r>
    <r>
      <rPr>
        <sz val="10"/>
        <color indexed="8"/>
        <rFont val="Arial"/>
        <family val="2"/>
      </rPr>
      <t>t1 = SQRT(</t>
    </r>
    <r>
      <rPr>
        <sz val="10"/>
        <color indexed="8"/>
        <rFont val="Symbol"/>
        <family val="1"/>
      </rPr>
      <t>s</t>
    </r>
    <r>
      <rPr>
        <sz val="10"/>
        <color indexed="8"/>
        <rFont val="Arial"/>
        <family val="2"/>
      </rPr>
      <t>x^2+</t>
    </r>
    <r>
      <rPr>
        <sz val="10"/>
        <color indexed="8"/>
        <rFont val="Symbol"/>
        <family val="1"/>
      </rPr>
      <t>s</t>
    </r>
    <r>
      <rPr>
        <sz val="10"/>
        <color indexed="8"/>
        <rFont val="Arial"/>
        <family val="2"/>
      </rPr>
      <t>z^2-</t>
    </r>
    <r>
      <rPr>
        <sz val="10"/>
        <color indexed="8"/>
        <rFont val="Symbol"/>
        <family val="1"/>
      </rPr>
      <t>s</t>
    </r>
    <r>
      <rPr>
        <sz val="10"/>
        <color indexed="8"/>
        <rFont val="Arial"/>
        <family val="2"/>
      </rPr>
      <t>x*</t>
    </r>
    <r>
      <rPr>
        <sz val="10"/>
        <color indexed="8"/>
        <rFont val="Symbol"/>
        <family val="1"/>
      </rPr>
      <t>s</t>
    </r>
    <r>
      <rPr>
        <sz val="10"/>
        <color indexed="8"/>
        <rFont val="Arial"/>
        <family val="2"/>
      </rPr>
      <t>z+3*</t>
    </r>
    <r>
      <rPr>
        <sz val="10"/>
        <color indexed="8"/>
        <rFont val="Symbol"/>
        <family val="1"/>
      </rPr>
      <t>t</t>
    </r>
    <r>
      <rPr>
        <sz val="10"/>
        <color indexed="8"/>
        <rFont val="Arial"/>
        <family val="2"/>
      </rPr>
      <t>xz^2)</t>
    </r>
  </si>
  <si>
    <r>
      <t>s</t>
    </r>
    <r>
      <rPr>
        <sz val="10"/>
        <color indexed="8"/>
        <rFont val="Arial"/>
        <family val="2"/>
      </rPr>
      <t>x = 0.75*</t>
    </r>
    <r>
      <rPr>
        <sz val="10"/>
        <color indexed="8"/>
        <rFont val="Symbol"/>
        <family val="1"/>
      </rPr>
      <t>s</t>
    </r>
    <r>
      <rPr>
        <sz val="10"/>
        <color indexed="8"/>
        <rFont val="Arial"/>
        <family val="2"/>
      </rPr>
      <t>x2</t>
    </r>
  </si>
  <si>
    <r>
      <t>s</t>
    </r>
    <r>
      <rPr>
        <sz val="10"/>
        <color indexed="8"/>
        <rFont val="Arial"/>
        <family val="2"/>
      </rPr>
      <t>t2 = SQRT(</t>
    </r>
    <r>
      <rPr>
        <sz val="10"/>
        <color indexed="8"/>
        <rFont val="Symbol"/>
        <family val="1"/>
      </rPr>
      <t>s</t>
    </r>
    <r>
      <rPr>
        <sz val="10"/>
        <color indexed="8"/>
        <rFont val="Arial"/>
        <family val="2"/>
      </rPr>
      <t>x^2+</t>
    </r>
    <r>
      <rPr>
        <sz val="10"/>
        <color indexed="8"/>
        <rFont val="Symbol"/>
        <family val="1"/>
      </rPr>
      <t>s</t>
    </r>
    <r>
      <rPr>
        <sz val="10"/>
        <color indexed="8"/>
        <rFont val="Arial"/>
        <family val="2"/>
      </rPr>
      <t>z^2-</t>
    </r>
    <r>
      <rPr>
        <sz val="10"/>
        <color indexed="8"/>
        <rFont val="Symbol"/>
        <family val="1"/>
      </rPr>
      <t>s</t>
    </r>
    <r>
      <rPr>
        <sz val="10"/>
        <color indexed="8"/>
        <rFont val="Arial"/>
        <family val="2"/>
      </rPr>
      <t>x*</t>
    </r>
    <r>
      <rPr>
        <sz val="10"/>
        <color indexed="8"/>
        <rFont val="Symbol"/>
        <family val="1"/>
      </rPr>
      <t>s</t>
    </r>
    <r>
      <rPr>
        <sz val="10"/>
        <color indexed="8"/>
        <rFont val="Arial"/>
        <family val="2"/>
      </rPr>
      <t>z+3*</t>
    </r>
    <r>
      <rPr>
        <sz val="10"/>
        <color indexed="8"/>
        <rFont val="Symbol"/>
        <family val="1"/>
      </rPr>
      <t>t</t>
    </r>
    <r>
      <rPr>
        <sz val="10"/>
        <color indexed="8"/>
        <rFont val="Arial"/>
        <family val="2"/>
      </rPr>
      <t>xz^2)</t>
    </r>
  </si>
  <si>
    <t>(Sign convention: + = tension, - = compression)</t>
  </si>
  <si>
    <t>Pv = P*(1+Vi/100)+Wt+Wh (vertical load)</t>
  </si>
  <si>
    <t>Program Description:</t>
  </si>
  <si>
    <t>Worksheet Name</t>
  </si>
  <si>
    <t>Description</t>
  </si>
  <si>
    <t>Doc</t>
  </si>
  <si>
    <t>This documentation sheet</t>
  </si>
  <si>
    <t>Program Assumptions and Limitations:</t>
  </si>
  <si>
    <t xml:space="preserve">      input or output items, equations used, data tables, etc.  (Note:  presence of a “comment box” is denoted by a </t>
  </si>
  <si>
    <t xml:space="preserve">      “red triangle” in the upper right-hand corner of a cell.  Merely move the mouse pointer to the desired cell to view </t>
  </si>
  <si>
    <t xml:space="preserve">      the contents of that particular "comment box".)</t>
  </si>
  <si>
    <t>"MONORAIL" --- MONORAIL BEAM ANALYSIS</t>
  </si>
  <si>
    <t>S-shaped Monorail Beam</t>
  </si>
  <si>
    <t>Monorail beam analysis for S-shaped beams</t>
  </si>
  <si>
    <t>For W-shaped Underhung Monorails Analyzed as Simple-Spans with / without Overhang</t>
  </si>
  <si>
    <t>W44x335</t>
  </si>
  <si>
    <t>W44x290</t>
  </si>
  <si>
    <t>W44x285</t>
  </si>
  <si>
    <t>W44x262</t>
  </si>
  <si>
    <t>W44x248</t>
  </si>
  <si>
    <t>W44x230</t>
  </si>
  <si>
    <t>W44X224</t>
  </si>
  <si>
    <t>W44x198</t>
  </si>
  <si>
    <t>W40x655</t>
  </si>
  <si>
    <t>W40x593</t>
  </si>
  <si>
    <t>34</t>
  </si>
  <si>
    <t>W40x531</t>
  </si>
  <si>
    <t>W40x503</t>
  </si>
  <si>
    <t>W40x480</t>
  </si>
  <si>
    <t>W40x466</t>
  </si>
  <si>
    <t>W40x436</t>
  </si>
  <si>
    <t>W40x431</t>
  </si>
  <si>
    <t>W40x397</t>
  </si>
  <si>
    <t>W40x392</t>
  </si>
  <si>
    <t>W40x372</t>
  </si>
  <si>
    <t>W40x362</t>
  </si>
  <si>
    <t>W40x331</t>
  </si>
  <si>
    <t>W40x328</t>
  </si>
  <si>
    <t>W40x327</t>
  </si>
  <si>
    <t>W40x324</t>
  </si>
  <si>
    <t>W40x321</t>
  </si>
  <si>
    <t>W40x298</t>
  </si>
  <si>
    <t>W40x297</t>
  </si>
  <si>
    <t>W40x278</t>
  </si>
  <si>
    <t>W40x277</t>
  </si>
  <si>
    <t>W40x268</t>
  </si>
  <si>
    <t>W40x264</t>
  </si>
  <si>
    <t>W40x249</t>
  </si>
  <si>
    <t>W40x244</t>
  </si>
  <si>
    <t>W40x235</t>
  </si>
  <si>
    <t>W40x221</t>
  </si>
  <si>
    <t>W40x215</t>
  </si>
  <si>
    <t>W40x211</t>
  </si>
  <si>
    <t>W40x199</t>
  </si>
  <si>
    <t>W40x192</t>
  </si>
  <si>
    <t>W40x183</t>
  </si>
  <si>
    <t>W40x174</t>
  </si>
  <si>
    <t>W40x167</t>
  </si>
  <si>
    <t>W40x149</t>
  </si>
  <si>
    <t>W36x848</t>
  </si>
  <si>
    <t>W36x798</t>
  </si>
  <si>
    <t>W36x720</t>
  </si>
  <si>
    <t>W36x650</t>
  </si>
  <si>
    <t>W36x588</t>
  </si>
  <si>
    <t>W36x527</t>
  </si>
  <si>
    <t>W36x485</t>
  </si>
  <si>
    <t>W36x439</t>
  </si>
  <si>
    <t>W36x393</t>
  </si>
  <si>
    <t>W36x359</t>
  </si>
  <si>
    <t>W36x328</t>
  </si>
  <si>
    <t>W36x300</t>
  </si>
  <si>
    <t>W36x280</t>
  </si>
  <si>
    <t>W36x260</t>
  </si>
  <si>
    <t>W36x256</t>
  </si>
  <si>
    <t>W36x245</t>
  </si>
  <si>
    <t>W36x232</t>
  </si>
  <si>
    <t>W36x230</t>
  </si>
  <si>
    <t>W36x210</t>
  </si>
  <si>
    <t>W36x194</t>
  </si>
  <si>
    <t>W36x182</t>
  </si>
  <si>
    <t>W36x170</t>
  </si>
  <si>
    <t>W36x160</t>
  </si>
  <si>
    <t>W36x150</t>
  </si>
  <si>
    <t>W36x135</t>
  </si>
  <si>
    <t>W33x619</t>
  </si>
  <si>
    <t>W33x567</t>
  </si>
  <si>
    <t>W33x515</t>
  </si>
  <si>
    <t>W33x468</t>
  </si>
  <si>
    <t>W33x424</t>
  </si>
  <si>
    <t>W33x387</t>
  </si>
  <si>
    <t>W33x354</t>
  </si>
  <si>
    <t>W33x318</t>
  </si>
  <si>
    <t>W33x291</t>
  </si>
  <si>
    <t>W33x263</t>
  </si>
  <si>
    <t>W33x241</t>
  </si>
  <si>
    <t>W33x221</t>
  </si>
  <si>
    <t>W33x201</t>
  </si>
  <si>
    <t>W33x169</t>
  </si>
  <si>
    <t>W33x152</t>
  </si>
  <si>
    <t>W33x141</t>
  </si>
  <si>
    <t>W33x130</t>
  </si>
  <si>
    <t>W33x118</t>
  </si>
  <si>
    <t>W30x581</t>
  </si>
  <si>
    <t>W30x526</t>
  </si>
  <si>
    <t>W30x477</t>
  </si>
  <si>
    <t>W30x433</t>
  </si>
  <si>
    <t>W30x391</t>
  </si>
  <si>
    <t>W30x357</t>
  </si>
  <si>
    <t>W30x326</t>
  </si>
  <si>
    <t>W30x292</t>
  </si>
  <si>
    <t>W30x261</t>
  </si>
  <si>
    <t>W30x235</t>
  </si>
  <si>
    <t>W30x211</t>
  </si>
  <si>
    <t>W30x191</t>
  </si>
  <si>
    <t>W30x173</t>
  </si>
  <si>
    <t>W30x148</t>
  </si>
  <si>
    <t>W30x132</t>
  </si>
  <si>
    <t>W30x124</t>
  </si>
  <si>
    <t>W30x116</t>
  </si>
  <si>
    <t>W30x108</t>
  </si>
  <si>
    <t>W30x99</t>
  </si>
  <si>
    <t>W30x90</t>
  </si>
  <si>
    <t>W27x539</t>
  </si>
  <si>
    <t>W27x494</t>
  </si>
  <si>
    <t>24</t>
  </si>
  <si>
    <t>W27x448</t>
  </si>
  <si>
    <t>W27x407</t>
  </si>
  <si>
    <t>W27x368</t>
  </si>
  <si>
    <t>W27x336</t>
  </si>
  <si>
    <t>W27x307</t>
  </si>
  <si>
    <t>W27x281</t>
  </si>
  <si>
    <t>W27x258</t>
  </si>
  <si>
    <t>W27x235</t>
  </si>
  <si>
    <t>W27x217</t>
  </si>
  <si>
    <t>W27x194</t>
  </si>
  <si>
    <t>W27x178</t>
  </si>
  <si>
    <t>W27x161</t>
  </si>
  <si>
    <t>W27x146</t>
  </si>
  <si>
    <t>W27x129</t>
  </si>
  <si>
    <t>W27x114</t>
  </si>
  <si>
    <t>W27x102</t>
  </si>
  <si>
    <t>W27x94</t>
  </si>
  <si>
    <t>W27x84</t>
  </si>
  <si>
    <t>W24x492</t>
  </si>
  <si>
    <t>21</t>
  </si>
  <si>
    <t>W24x450</t>
  </si>
  <si>
    <t>W24x408</t>
  </si>
  <si>
    <t>W24x370</t>
  </si>
  <si>
    <t>W24x335</t>
  </si>
  <si>
    <t>W24x306</t>
  </si>
  <si>
    <t>W24x279</t>
  </si>
  <si>
    <t>W24x250</t>
  </si>
  <si>
    <t>W24x229</t>
  </si>
  <si>
    <t>W24x207</t>
  </si>
  <si>
    <t>W24x192</t>
  </si>
  <si>
    <t>W24x176</t>
  </si>
  <si>
    <t>W24x162</t>
  </si>
  <si>
    <t>W24x146</t>
  </si>
  <si>
    <t>W24x131</t>
  </si>
  <si>
    <t>W24x117</t>
  </si>
  <si>
    <t>W24x104</t>
  </si>
  <si>
    <t>W24x103</t>
  </si>
  <si>
    <t>W24x94</t>
  </si>
  <si>
    <t>W24x84</t>
  </si>
  <si>
    <t>W24x76</t>
  </si>
  <si>
    <t>W24x68</t>
  </si>
  <si>
    <t>W24x62</t>
  </si>
  <si>
    <t>W24x55</t>
  </si>
  <si>
    <t>W21x402</t>
  </si>
  <si>
    <t>W21x364</t>
  </si>
  <si>
    <t>W21x333</t>
  </si>
  <si>
    <t>W21x300</t>
  </si>
  <si>
    <t>W21x275</t>
  </si>
  <si>
    <t>W21x248</t>
  </si>
  <si>
    <t>W21x223</t>
  </si>
  <si>
    <t>W21x201</t>
  </si>
  <si>
    <t>18</t>
  </si>
  <si>
    <t>W21x182</t>
  </si>
  <si>
    <t>W21x166</t>
  </si>
  <si>
    <t>W21x147</t>
  </si>
  <si>
    <t>W21x132</t>
  </si>
  <si>
    <t>W21x122</t>
  </si>
  <si>
    <t>W21x111</t>
  </si>
  <si>
    <t>W21x101</t>
  </si>
  <si>
    <t>W21x93</t>
  </si>
  <si>
    <t>W21x83</t>
  </si>
  <si>
    <t>W21x73</t>
  </si>
  <si>
    <t>W21x68</t>
  </si>
  <si>
    <t>W21x62</t>
  </si>
  <si>
    <t>W21x57</t>
  </si>
  <si>
    <t>W21x55</t>
  </si>
  <si>
    <t>W21x50</t>
  </si>
  <si>
    <t>W21x48</t>
  </si>
  <si>
    <t>W21x44</t>
  </si>
  <si>
    <t>W18x311</t>
  </si>
  <si>
    <t>W18x283</t>
  </si>
  <si>
    <t>W18x258</t>
  </si>
  <si>
    <t>W18x234</t>
  </si>
  <si>
    <t>W18x211</t>
  </si>
  <si>
    <t>W18x192</t>
  </si>
  <si>
    <t>W18x175</t>
  </si>
  <si>
    <t>W18x158</t>
  </si>
  <si>
    <t>W18x143</t>
  </si>
  <si>
    <t>W18x130</t>
  </si>
  <si>
    <t>W18x119</t>
  </si>
  <si>
    <t>W18x106</t>
  </si>
  <si>
    <t>W18x97</t>
  </si>
  <si>
    <t>W18x86</t>
  </si>
  <si>
    <t>W18x76</t>
  </si>
  <si>
    <t>W18x71</t>
  </si>
  <si>
    <t>W18x65</t>
  </si>
  <si>
    <t>W18x60</t>
  </si>
  <si>
    <t>W18x55</t>
  </si>
  <si>
    <t>W18x50</t>
  </si>
  <si>
    <t>W18x46</t>
  </si>
  <si>
    <t>W18x40</t>
  </si>
  <si>
    <t>W18x35</t>
  </si>
  <si>
    <t>W16x100</t>
  </si>
  <si>
    <t>W16x89</t>
  </si>
  <si>
    <t>W16x77</t>
  </si>
  <si>
    <t>W16x67</t>
  </si>
  <si>
    <t>W16x57</t>
  </si>
  <si>
    <t>W16x50</t>
  </si>
  <si>
    <t>W16x45</t>
  </si>
  <si>
    <t>W16x40</t>
  </si>
  <si>
    <t>W16x36</t>
  </si>
  <si>
    <t>W16x31</t>
  </si>
  <si>
    <t>W16x26</t>
  </si>
  <si>
    <t>W14x808</t>
  </si>
  <si>
    <t>10</t>
  </si>
  <si>
    <t>W14x730</t>
  </si>
  <si>
    <t>W14x665</t>
  </si>
  <si>
    <t>W14x605</t>
  </si>
  <si>
    <t>W14x550</t>
  </si>
  <si>
    <t>W14x500</t>
  </si>
  <si>
    <t>W14x455</t>
  </si>
  <si>
    <t>W14x426</t>
  </si>
  <si>
    <t>W14x398</t>
  </si>
  <si>
    <t>W14x370</t>
  </si>
  <si>
    <t>W14x342</t>
  </si>
  <si>
    <t>W14x311</t>
  </si>
  <si>
    <t>W14x283</t>
  </si>
  <si>
    <t>W14x257</t>
  </si>
  <si>
    <t>W14x233</t>
  </si>
  <si>
    <t>W14x211</t>
  </si>
  <si>
    <t>W14x193</t>
  </si>
  <si>
    <t>W14x176</t>
  </si>
  <si>
    <t>W14x159</t>
  </si>
  <si>
    <t>W14x145</t>
  </si>
  <si>
    <t>W14x132</t>
  </si>
  <si>
    <t>W14x120</t>
  </si>
  <si>
    <t>W14x109</t>
  </si>
  <si>
    <t>W14x99</t>
  </si>
  <si>
    <t>W14x90</t>
  </si>
  <si>
    <t>W14x82</t>
  </si>
  <si>
    <t>W14x74</t>
  </si>
  <si>
    <t>W14x68</t>
  </si>
  <si>
    <t>W14x61</t>
  </si>
  <si>
    <t>W14x53</t>
  </si>
  <si>
    <t>W14x48</t>
  </si>
  <si>
    <t>W14x43</t>
  </si>
  <si>
    <t>W14x38</t>
  </si>
  <si>
    <t>W14x34</t>
  </si>
  <si>
    <t>W14x30</t>
  </si>
  <si>
    <t>W14x26</t>
  </si>
  <si>
    <t>W14x22</t>
  </si>
  <si>
    <t>W12x336</t>
  </si>
  <si>
    <t>W12x305</t>
  </si>
  <si>
    <t>W12x279</t>
  </si>
  <si>
    <t>W12x252</t>
  </si>
  <si>
    <t>W12x230</t>
  </si>
  <si>
    <t>W12x210</t>
  </si>
  <si>
    <t>W12x190</t>
  </si>
  <si>
    <t>W12x170</t>
  </si>
  <si>
    <t>W12x152</t>
  </si>
  <si>
    <t>W12x136</t>
  </si>
  <si>
    <t>W12x120</t>
  </si>
  <si>
    <t>W12x106</t>
  </si>
  <si>
    <t>W12x96</t>
  </si>
  <si>
    <t>W12x87</t>
  </si>
  <si>
    <t>W12x79</t>
  </si>
  <si>
    <t>W12x72</t>
  </si>
  <si>
    <t>W12x65</t>
  </si>
  <si>
    <t>W12x58</t>
  </si>
  <si>
    <t>W12x53</t>
  </si>
  <si>
    <t>W12x50</t>
  </si>
  <si>
    <t>W12x45</t>
  </si>
  <si>
    <t>W12x40</t>
  </si>
  <si>
    <t>W12x35</t>
  </si>
  <si>
    <t>W12x30</t>
  </si>
  <si>
    <t>W12x26</t>
  </si>
  <si>
    <t>W12x22</t>
  </si>
  <si>
    <t>W12x19</t>
  </si>
  <si>
    <t>W12x16</t>
  </si>
  <si>
    <t>W12x14</t>
  </si>
  <si>
    <t>W10x112</t>
  </si>
  <si>
    <t>W10x100</t>
  </si>
  <si>
    <t>W10x88</t>
  </si>
  <si>
    <t>W10x77</t>
  </si>
  <si>
    <t>W10x68</t>
  </si>
  <si>
    <t>W10x60</t>
  </si>
  <si>
    <t>W10x54</t>
  </si>
  <si>
    <t>W10x49</t>
  </si>
  <si>
    <t>W10x45</t>
  </si>
  <si>
    <t>W10x39</t>
  </si>
  <si>
    <t>W10x33</t>
  </si>
  <si>
    <t>W10x30</t>
  </si>
  <si>
    <t>W10x26</t>
  </si>
  <si>
    <t>W10x22</t>
  </si>
  <si>
    <t>W10x19</t>
  </si>
  <si>
    <t>W10x17</t>
  </si>
  <si>
    <t>W10x15</t>
  </si>
  <si>
    <t>W10x12</t>
  </si>
  <si>
    <t>W8x67</t>
  </si>
  <si>
    <t>W8x58</t>
  </si>
  <si>
    <t>W8x48</t>
  </si>
  <si>
    <t>W8x40</t>
  </si>
  <si>
    <t>W8x35</t>
  </si>
  <si>
    <t>W8x31</t>
  </si>
  <si>
    <t>W8x28</t>
  </si>
  <si>
    <t>W8x24</t>
  </si>
  <si>
    <t>W8x21</t>
  </si>
  <si>
    <t>W8x18</t>
  </si>
  <si>
    <t>W8x15</t>
  </si>
  <si>
    <t>W8x13</t>
  </si>
  <si>
    <t>W8x10</t>
  </si>
  <si>
    <t>W6x25</t>
  </si>
  <si>
    <t>W6x20</t>
  </si>
  <si>
    <t>W6x16</t>
  </si>
  <si>
    <t>W6x15</t>
  </si>
  <si>
    <t>W6x12</t>
  </si>
  <si>
    <t>W6x9</t>
  </si>
  <si>
    <t>W6x8.5</t>
  </si>
  <si>
    <t>W5x19</t>
  </si>
  <si>
    <t>W5x16</t>
  </si>
  <si>
    <t>W4x13</t>
  </si>
  <si>
    <t>15</t>
  </si>
  <si>
    <t>W-shape Section Properties from AISC Version 3.0 CD Database (2001) and AISC 9th Edition Manual (1989)</t>
  </si>
  <si>
    <t>335</t>
  </si>
  <si>
    <t>290</t>
  </si>
  <si>
    <t>285</t>
  </si>
  <si>
    <t>262</t>
  </si>
  <si>
    <t>248</t>
  </si>
  <si>
    <t>230</t>
  </si>
  <si>
    <t>224</t>
  </si>
  <si>
    <t>198</t>
  </si>
  <si>
    <t>655</t>
  </si>
  <si>
    <t>593</t>
  </si>
  <si>
    <t>531</t>
  </si>
  <si>
    <t>503</t>
  </si>
  <si>
    <t>480</t>
  </si>
  <si>
    <t>466</t>
  </si>
  <si>
    <t>436</t>
  </si>
  <si>
    <t>431</t>
  </si>
  <si>
    <t>397</t>
  </si>
  <si>
    <t>392</t>
  </si>
  <si>
    <t>372</t>
  </si>
  <si>
    <t>362</t>
  </si>
  <si>
    <t>331</t>
  </si>
  <si>
    <t>328</t>
  </si>
  <si>
    <t>327</t>
  </si>
  <si>
    <t>324</t>
  </si>
  <si>
    <t>321</t>
  </si>
  <si>
    <t>298</t>
  </si>
  <si>
    <t>297</t>
  </si>
  <si>
    <t>278</t>
  </si>
  <si>
    <t>277</t>
  </si>
  <si>
    <t>268</t>
  </si>
  <si>
    <t>264</t>
  </si>
  <si>
    <t>249</t>
  </si>
  <si>
    <t>244</t>
  </si>
  <si>
    <t>235</t>
  </si>
  <si>
    <t>221</t>
  </si>
  <si>
    <t>215</t>
  </si>
  <si>
    <t>211</t>
  </si>
  <si>
    <t>199</t>
  </si>
  <si>
    <t>192</t>
  </si>
  <si>
    <t>183</t>
  </si>
  <si>
    <t>174</t>
  </si>
  <si>
    <t>167</t>
  </si>
  <si>
    <t>149</t>
  </si>
  <si>
    <t>848</t>
  </si>
  <si>
    <t>798</t>
  </si>
  <si>
    <t>720</t>
  </si>
  <si>
    <t>650</t>
  </si>
  <si>
    <t>588</t>
  </si>
  <si>
    <t>527</t>
  </si>
  <si>
    <t>485</t>
  </si>
  <si>
    <t>439</t>
  </si>
  <si>
    <t>393</t>
  </si>
  <si>
    <t>359</t>
  </si>
  <si>
    <t>300</t>
  </si>
  <si>
    <t>280</t>
  </si>
  <si>
    <t>260</t>
  </si>
  <si>
    <t>256</t>
  </si>
  <si>
    <t>245</t>
  </si>
  <si>
    <t>232</t>
  </si>
  <si>
    <t>210</t>
  </si>
  <si>
    <t>194</t>
  </si>
  <si>
    <t>182</t>
  </si>
  <si>
    <t>170</t>
  </si>
  <si>
    <t>160</t>
  </si>
  <si>
    <t>150</t>
  </si>
  <si>
    <t>135</t>
  </si>
  <si>
    <t>619</t>
  </si>
  <si>
    <t>567</t>
  </si>
  <si>
    <t>515</t>
  </si>
  <si>
    <t>468</t>
  </si>
  <si>
    <t>424</t>
  </si>
  <si>
    <t>387</t>
  </si>
  <si>
    <t>354</t>
  </si>
  <si>
    <t>318</t>
  </si>
  <si>
    <t>291</t>
  </si>
  <si>
    <t>263</t>
  </si>
  <si>
    <t>241</t>
  </si>
  <si>
    <t>201</t>
  </si>
  <si>
    <t>169</t>
  </si>
  <si>
    <t>152</t>
  </si>
  <si>
    <t>141</t>
  </si>
  <si>
    <t>130</t>
  </si>
  <si>
    <t>118</t>
  </si>
  <si>
    <t>581</t>
  </si>
  <si>
    <t>526</t>
  </si>
  <si>
    <t>477</t>
  </si>
  <si>
    <t>433</t>
  </si>
  <si>
    <t>391</t>
  </si>
  <si>
    <t>357</t>
  </si>
  <si>
    <t>326</t>
  </si>
  <si>
    <t>292</t>
  </si>
  <si>
    <t>261</t>
  </si>
  <si>
    <t>191</t>
  </si>
  <si>
    <t>173</t>
  </si>
  <si>
    <t>148</t>
  </si>
  <si>
    <t>132</t>
  </si>
  <si>
    <t>124</t>
  </si>
  <si>
    <t>116</t>
  </si>
  <si>
    <t>108</t>
  </si>
  <si>
    <t>99</t>
  </si>
  <si>
    <t>90</t>
  </si>
  <si>
    <t>539</t>
  </si>
  <si>
    <t>494</t>
  </si>
  <si>
    <t>448</t>
  </si>
  <si>
    <t>407</t>
  </si>
  <si>
    <t>368</t>
  </si>
  <si>
    <t>336</t>
  </si>
  <si>
    <t>307</t>
  </si>
  <si>
    <t>281</t>
  </si>
  <si>
    <t>258</t>
  </si>
  <si>
    <t>217</t>
  </si>
  <si>
    <t>178</t>
  </si>
  <si>
    <t>161</t>
  </si>
  <si>
    <t>146</t>
  </si>
  <si>
    <t>129</t>
  </si>
  <si>
    <t>114</t>
  </si>
  <si>
    <t>102</t>
  </si>
  <si>
    <t>94</t>
  </si>
  <si>
    <t>84</t>
  </si>
  <si>
    <t>492</t>
  </si>
  <si>
    <t>450</t>
  </si>
  <si>
    <t>408</t>
  </si>
  <si>
    <t>370</t>
  </si>
  <si>
    <t>306</t>
  </si>
  <si>
    <t>279</t>
  </si>
  <si>
    <t>250</t>
  </si>
  <si>
    <t>229</t>
  </si>
  <si>
    <t>207</t>
  </si>
  <si>
    <t>176</t>
  </si>
  <si>
    <t>162</t>
  </si>
  <si>
    <t>131</t>
  </si>
  <si>
    <t>117</t>
  </si>
  <si>
    <t>104</t>
  </si>
  <si>
    <t>103</t>
  </si>
  <si>
    <t>76</t>
  </si>
  <si>
    <t>68</t>
  </si>
  <si>
    <t>62</t>
  </si>
  <si>
    <t>55</t>
  </si>
  <si>
    <t>402</t>
  </si>
  <si>
    <t>364</t>
  </si>
  <si>
    <t>333</t>
  </si>
  <si>
    <t>275</t>
  </si>
  <si>
    <t>223</t>
  </si>
  <si>
    <t>166</t>
  </si>
  <si>
    <t>147</t>
  </si>
  <si>
    <t>122</t>
  </si>
  <si>
    <t>111</t>
  </si>
  <si>
    <t>101</t>
  </si>
  <si>
    <t>93</t>
  </si>
  <si>
    <t>83</t>
  </si>
  <si>
    <t>73</t>
  </si>
  <si>
    <t>57</t>
  </si>
  <si>
    <t>50</t>
  </si>
  <si>
    <t>48</t>
  </si>
  <si>
    <t>44</t>
  </si>
  <si>
    <t>311</t>
  </si>
  <si>
    <t>283</t>
  </si>
  <si>
    <t>234</t>
  </si>
  <si>
    <t>175</t>
  </si>
  <si>
    <t>158</t>
  </si>
  <si>
    <t>143</t>
  </si>
  <si>
    <t>119</t>
  </si>
  <si>
    <t>106</t>
  </si>
  <si>
    <t>97</t>
  </si>
  <si>
    <t>86</t>
  </si>
  <si>
    <t>71</t>
  </si>
  <si>
    <t>65</t>
  </si>
  <si>
    <t>60</t>
  </si>
  <si>
    <t>46</t>
  </si>
  <si>
    <t>40</t>
  </si>
  <si>
    <t>35</t>
  </si>
  <si>
    <t>100</t>
  </si>
  <si>
    <t>89</t>
  </si>
  <si>
    <t>77</t>
  </si>
  <si>
    <t>67</t>
  </si>
  <si>
    <t>45</t>
  </si>
  <si>
    <t>36</t>
  </si>
  <si>
    <t>31</t>
  </si>
  <si>
    <t>26</t>
  </si>
  <si>
    <t>808</t>
  </si>
  <si>
    <t>730</t>
  </si>
  <si>
    <t>665</t>
  </si>
  <si>
    <t>605</t>
  </si>
  <si>
    <t>550</t>
  </si>
  <si>
    <t>500</t>
  </si>
  <si>
    <t>455</t>
  </si>
  <si>
    <t>426</t>
  </si>
  <si>
    <t>398</t>
  </si>
  <si>
    <t>342</t>
  </si>
  <si>
    <t>257</t>
  </si>
  <si>
    <t>233</t>
  </si>
  <si>
    <t>193</t>
  </si>
  <si>
    <t>159</t>
  </si>
  <si>
    <t>145</t>
  </si>
  <si>
    <t>120</t>
  </si>
  <si>
    <t>109</t>
  </si>
  <si>
    <t>82</t>
  </si>
  <si>
    <t>74</t>
  </si>
  <si>
    <t>61</t>
  </si>
  <si>
    <t>53</t>
  </si>
  <si>
    <t>43</t>
  </si>
  <si>
    <t>38</t>
  </si>
  <si>
    <t>30</t>
  </si>
  <si>
    <t>22</t>
  </si>
  <si>
    <t>305</t>
  </si>
  <si>
    <t>252</t>
  </si>
  <si>
    <t>190</t>
  </si>
  <si>
    <t>136</t>
  </si>
  <si>
    <t>96</t>
  </si>
  <si>
    <t>87</t>
  </si>
  <si>
    <t>79</t>
  </si>
  <si>
    <t>72</t>
  </si>
  <si>
    <t>58</t>
  </si>
  <si>
    <t>19</t>
  </si>
  <si>
    <t>16</t>
  </si>
  <si>
    <t>14</t>
  </si>
  <si>
    <t>112</t>
  </si>
  <si>
    <t>88</t>
  </si>
  <si>
    <t>54</t>
  </si>
  <si>
    <t>49</t>
  </si>
  <si>
    <t>39</t>
  </si>
  <si>
    <t>33</t>
  </si>
  <si>
    <t>17</t>
  </si>
  <si>
    <t>12</t>
  </si>
  <si>
    <t>28</t>
  </si>
  <si>
    <t>13</t>
  </si>
  <si>
    <t>25</t>
  </si>
  <si>
    <t>20</t>
  </si>
  <si>
    <t>9</t>
  </si>
  <si>
    <t>8.5</t>
  </si>
  <si>
    <r>
      <t>Cx1 = 10.108-7.408*</t>
    </r>
    <r>
      <rPr>
        <sz val="10"/>
        <color indexed="12"/>
        <rFont val="Symbol"/>
        <family val="1"/>
      </rPr>
      <t>l</t>
    </r>
    <r>
      <rPr>
        <sz val="10"/>
        <color indexed="12"/>
        <rFont val="Arial"/>
        <family val="2"/>
      </rPr>
      <t>-10.108*e^(-1.364*</t>
    </r>
    <r>
      <rPr>
        <sz val="10"/>
        <color indexed="12"/>
        <rFont val="Symbol"/>
        <family val="1"/>
      </rPr>
      <t>l</t>
    </r>
    <r>
      <rPr>
        <sz val="10"/>
        <color indexed="12"/>
        <rFont val="Arial"/>
        <family val="2"/>
      </rPr>
      <t>)</t>
    </r>
  </si>
  <si>
    <r>
      <t>Cxo = -2.110+1.977*</t>
    </r>
    <r>
      <rPr>
        <sz val="10"/>
        <color indexed="12"/>
        <rFont val="Symbol"/>
        <family val="1"/>
      </rPr>
      <t>l</t>
    </r>
    <r>
      <rPr>
        <sz val="10"/>
        <color indexed="12"/>
        <rFont val="Arial"/>
        <family val="2"/>
      </rPr>
      <t>+0.0076*e^(6.53*</t>
    </r>
    <r>
      <rPr>
        <sz val="10"/>
        <color indexed="12"/>
        <rFont val="Symbol"/>
        <family val="1"/>
      </rPr>
      <t>l</t>
    </r>
    <r>
      <rPr>
        <sz val="10"/>
        <color indexed="12"/>
        <rFont val="Arial"/>
        <family val="2"/>
      </rPr>
      <t>)</t>
    </r>
  </si>
  <si>
    <r>
      <t>Czo = 0.050-0.580*</t>
    </r>
    <r>
      <rPr>
        <sz val="10"/>
        <color indexed="12"/>
        <rFont val="Symbol"/>
        <family val="1"/>
      </rPr>
      <t>l</t>
    </r>
    <r>
      <rPr>
        <sz val="10"/>
        <color indexed="12"/>
        <rFont val="Arial"/>
        <family val="2"/>
      </rPr>
      <t>+0.148*e^(3.015*</t>
    </r>
    <r>
      <rPr>
        <sz val="10"/>
        <color indexed="12"/>
        <rFont val="Symbol"/>
        <family val="1"/>
      </rPr>
      <t>l</t>
    </r>
    <r>
      <rPr>
        <sz val="10"/>
        <color indexed="12"/>
        <rFont val="Arial"/>
        <family val="2"/>
      </rPr>
      <t>)</t>
    </r>
  </si>
  <si>
    <r>
      <t>Cz1 = 2.230-1.490*</t>
    </r>
    <r>
      <rPr>
        <sz val="10"/>
        <color indexed="12"/>
        <rFont val="Symbol"/>
        <family val="1"/>
      </rPr>
      <t>l</t>
    </r>
    <r>
      <rPr>
        <sz val="10"/>
        <color indexed="12"/>
        <rFont val="Arial"/>
        <family val="2"/>
      </rPr>
      <t>+1.390*e^(-18.33*</t>
    </r>
    <r>
      <rPr>
        <sz val="10"/>
        <color indexed="12"/>
        <rFont val="Symbol"/>
        <family val="1"/>
      </rPr>
      <t>l</t>
    </r>
    <r>
      <rPr>
        <sz val="10"/>
        <color indexed="12"/>
        <rFont val="Arial"/>
        <family val="2"/>
      </rPr>
      <t>)</t>
    </r>
  </si>
  <si>
    <r>
      <t>Czo = -0.981-1.479*</t>
    </r>
    <r>
      <rPr>
        <sz val="10"/>
        <color indexed="12"/>
        <rFont val="Symbol"/>
        <family val="1"/>
      </rPr>
      <t>l</t>
    </r>
    <r>
      <rPr>
        <sz val="10"/>
        <color indexed="12"/>
        <rFont val="Arial"/>
        <family val="2"/>
      </rPr>
      <t>+1.120*e^(1.322*</t>
    </r>
    <r>
      <rPr>
        <sz val="10"/>
        <color indexed="12"/>
        <rFont val="Symbol"/>
        <family val="1"/>
      </rPr>
      <t>l</t>
    </r>
    <r>
      <rPr>
        <sz val="10"/>
        <color indexed="12"/>
        <rFont val="Arial"/>
        <family val="2"/>
      </rPr>
      <t>)</t>
    </r>
  </si>
  <si>
    <t>ta = tf  (for W-shape)</t>
  </si>
  <si>
    <t>ta = tf-bf/24+a/6  (for S-shape)</t>
  </si>
  <si>
    <r>
      <t>Cxo = -2.110+1.977*</t>
    </r>
    <r>
      <rPr>
        <sz val="10"/>
        <color indexed="8"/>
        <rFont val="Symbol"/>
        <family val="1"/>
      </rPr>
      <t>l</t>
    </r>
    <r>
      <rPr>
        <sz val="10"/>
        <color indexed="8"/>
        <rFont val="Arial"/>
        <family val="2"/>
      </rPr>
      <t>+0.0076*e^(6.53*</t>
    </r>
    <r>
      <rPr>
        <sz val="10"/>
        <color indexed="8"/>
        <rFont val="Symbol"/>
        <family val="1"/>
      </rPr>
      <t>l</t>
    </r>
    <r>
      <rPr>
        <sz val="10"/>
        <color indexed="8"/>
        <rFont val="Arial"/>
        <family val="2"/>
      </rPr>
      <t>)</t>
    </r>
  </si>
  <si>
    <r>
      <t>Cx1 = 10.108-7.408*</t>
    </r>
    <r>
      <rPr>
        <sz val="10"/>
        <color indexed="8"/>
        <rFont val="Symbol"/>
        <family val="1"/>
      </rPr>
      <t>l</t>
    </r>
    <r>
      <rPr>
        <sz val="10"/>
        <color indexed="8"/>
        <rFont val="Arial"/>
        <family val="2"/>
      </rPr>
      <t>-10.108*e^(-1.364*</t>
    </r>
    <r>
      <rPr>
        <sz val="10"/>
        <color indexed="8"/>
        <rFont val="Symbol"/>
        <family val="1"/>
      </rPr>
      <t>l</t>
    </r>
    <r>
      <rPr>
        <sz val="10"/>
        <color indexed="8"/>
        <rFont val="Arial"/>
        <family val="2"/>
      </rPr>
      <t>)</t>
    </r>
  </si>
  <si>
    <r>
      <t>Czo = 0.050-0.580*</t>
    </r>
    <r>
      <rPr>
        <sz val="10"/>
        <color indexed="8"/>
        <rFont val="Symbol"/>
        <family val="1"/>
      </rPr>
      <t>l</t>
    </r>
    <r>
      <rPr>
        <sz val="10"/>
        <color indexed="8"/>
        <rFont val="Arial"/>
        <family val="2"/>
      </rPr>
      <t>+0.148*e^(3.015*</t>
    </r>
    <r>
      <rPr>
        <sz val="10"/>
        <color indexed="8"/>
        <rFont val="Symbol"/>
        <family val="1"/>
      </rPr>
      <t>l</t>
    </r>
    <r>
      <rPr>
        <sz val="10"/>
        <color indexed="8"/>
        <rFont val="Arial"/>
        <family val="2"/>
      </rPr>
      <t>)</t>
    </r>
  </si>
  <si>
    <r>
      <t>Cz1 = 2.230-1.490*</t>
    </r>
    <r>
      <rPr>
        <sz val="10"/>
        <color indexed="8"/>
        <rFont val="Symbol"/>
        <family val="1"/>
      </rPr>
      <t>l</t>
    </r>
    <r>
      <rPr>
        <sz val="10"/>
        <color indexed="8"/>
        <rFont val="Arial"/>
        <family val="2"/>
      </rPr>
      <t>+1.390*e^(-18.33*</t>
    </r>
    <r>
      <rPr>
        <sz val="10"/>
        <color indexed="8"/>
        <rFont val="Symbol"/>
        <family val="1"/>
      </rPr>
      <t>l</t>
    </r>
    <r>
      <rPr>
        <sz val="10"/>
        <color indexed="8"/>
        <rFont val="Arial"/>
        <family val="2"/>
      </rPr>
      <t>)</t>
    </r>
  </si>
  <si>
    <r>
      <t>Cxo = -1.096+1.095*</t>
    </r>
    <r>
      <rPr>
        <sz val="10"/>
        <color indexed="12"/>
        <rFont val="Symbol"/>
        <family val="1"/>
      </rPr>
      <t>l</t>
    </r>
    <r>
      <rPr>
        <sz val="10"/>
        <color indexed="12"/>
        <rFont val="Arial"/>
        <family val="2"/>
      </rPr>
      <t>+0.192*e^(-6.0*</t>
    </r>
    <r>
      <rPr>
        <sz val="10"/>
        <color indexed="12"/>
        <rFont val="Symbol"/>
        <family val="1"/>
      </rPr>
      <t>l</t>
    </r>
    <r>
      <rPr>
        <sz val="10"/>
        <color indexed="12"/>
        <rFont val="Arial"/>
        <family val="2"/>
      </rPr>
      <t>)</t>
    </r>
  </si>
  <si>
    <r>
      <t>Cz1 = 1.810-1.150*</t>
    </r>
    <r>
      <rPr>
        <sz val="10"/>
        <color indexed="12"/>
        <rFont val="Symbol"/>
        <family val="1"/>
      </rPr>
      <t>l</t>
    </r>
    <r>
      <rPr>
        <sz val="10"/>
        <color indexed="12"/>
        <rFont val="Arial"/>
        <family val="2"/>
      </rPr>
      <t>+1.060*e^(-7.70*</t>
    </r>
    <r>
      <rPr>
        <sz val="10"/>
        <color indexed="12"/>
        <rFont val="Symbol"/>
        <family val="1"/>
      </rPr>
      <t>l</t>
    </r>
    <r>
      <rPr>
        <sz val="10"/>
        <color indexed="12"/>
        <rFont val="Arial"/>
        <family val="2"/>
      </rPr>
      <t>)</t>
    </r>
  </si>
  <si>
    <r>
      <t>Cxo = -1.096+1.095*</t>
    </r>
    <r>
      <rPr>
        <sz val="10"/>
        <rFont val="Symbol"/>
        <family val="1"/>
      </rPr>
      <t>l</t>
    </r>
    <r>
      <rPr>
        <sz val="10"/>
        <rFont val="Arial"/>
        <family val="0"/>
      </rPr>
      <t>+0.192*e^(-6.0*</t>
    </r>
    <r>
      <rPr>
        <sz val="10"/>
        <rFont val="Symbol"/>
        <family val="1"/>
      </rPr>
      <t>l</t>
    </r>
    <r>
      <rPr>
        <sz val="10"/>
        <rFont val="Arial"/>
        <family val="0"/>
      </rPr>
      <t>)</t>
    </r>
  </si>
  <si>
    <r>
      <t>Cz1 = 1.810-1.150*</t>
    </r>
    <r>
      <rPr>
        <sz val="10"/>
        <rFont val="Symbol"/>
        <family val="1"/>
      </rPr>
      <t>l</t>
    </r>
    <r>
      <rPr>
        <sz val="10"/>
        <rFont val="Arial"/>
        <family val="0"/>
      </rPr>
      <t>+1.060*e^(-7.70*</t>
    </r>
    <r>
      <rPr>
        <sz val="10"/>
        <rFont val="Symbol"/>
        <family val="1"/>
      </rPr>
      <t>l</t>
    </r>
    <r>
      <rPr>
        <sz val="10"/>
        <rFont val="Arial"/>
        <family val="0"/>
      </rPr>
      <t>)</t>
    </r>
  </si>
  <si>
    <r>
      <t>Czo = -0.981-1.479*</t>
    </r>
    <r>
      <rPr>
        <sz val="10"/>
        <rFont val="Symbol"/>
        <family val="1"/>
      </rPr>
      <t>l</t>
    </r>
    <r>
      <rPr>
        <sz val="10"/>
        <rFont val="Arial"/>
        <family val="0"/>
      </rPr>
      <t>+1.120*e^(1.322*</t>
    </r>
    <r>
      <rPr>
        <sz val="10"/>
        <rFont val="Symbol"/>
        <family val="1"/>
      </rPr>
      <t>l</t>
    </r>
    <r>
      <rPr>
        <sz val="10"/>
        <rFont val="Arial"/>
        <family val="0"/>
      </rPr>
      <t>)</t>
    </r>
  </si>
  <si>
    <t>W-shaped Monorail Beam</t>
  </si>
  <si>
    <t>Monorail beam analysis for W-shaped beams</t>
  </si>
  <si>
    <t>This program is a workbook consisting of three (3) worksheets, described as follows:</t>
  </si>
  <si>
    <t xml:space="preserve">"MONORAIL" is a spreadsheet program written in MS-Excel for the purpose of analysis of either S-shape or </t>
  </si>
  <si>
    <t xml:space="preserve">W-shape underhung monorail beams analyzed as simple-spans with or without overhangs (cantilevers).  </t>
  </si>
  <si>
    <t xml:space="preserve">Specifically, the x-axis and y-axis bending moments as well as any torsion effects are calculated.  The actual and </t>
  </si>
  <si>
    <t>approaches.</t>
  </si>
  <si>
    <t>allowable stresses are determined, and the effect of lower flange bending is also addressed by two different</t>
  </si>
  <si>
    <t>Beam Simple-Span, L =</t>
  </si>
  <si>
    <t>a.</t>
  </si>
  <si>
    <t>Fluor Enterprises, Inc. - Guideline 000.215.1257 - "Hoisting Facilities" (August 22, 2005)</t>
  </si>
  <si>
    <t>b.</t>
  </si>
  <si>
    <t>c.</t>
  </si>
  <si>
    <t>American National Standards Institute (ANSI): MH27.1 - "Underhung Cranes and Monorail Syatems"</t>
  </si>
  <si>
    <t>d.</t>
  </si>
  <si>
    <t>1.   The following references were used in the development of this program:</t>
  </si>
  <si>
    <t>American Institute of Steel Construction (AISC) 9th Edition Allowable Stress Design (ASD) Manual (1989)</t>
  </si>
  <si>
    <t>Dupont Engineering Design Standard: DB1X - "Design and Installation of Monorail Beams" (May 2000)</t>
  </si>
  <si>
    <t>Fluor Guideline 000.215.1257:  Lbo = Lo+L/2</t>
  </si>
  <si>
    <t>Dupont Standard DB1X:  Lbo = 3*Lo</t>
  </si>
  <si>
    <t>ANSI Standard MH27.1:  Lbo = 2*Lo</t>
  </si>
  <si>
    <t xml:space="preserve">      The following are some recommendations from the references cited above:</t>
  </si>
  <si>
    <t>e.</t>
  </si>
  <si>
    <t>f.</t>
  </si>
  <si>
    <t xml:space="preserve">"Specifications for Top Running &amp; Under Running Single Girder Electric Traveling Cranes </t>
  </si>
  <si>
    <t>Utilizing Under Running Trolley Hoist" (2004)</t>
  </si>
  <si>
    <t xml:space="preserve">Crane Manufacturers Association of America, Inc. (CMAA) - Publication No. 74 - </t>
  </si>
  <si>
    <t>g.</t>
  </si>
  <si>
    <t>h.</t>
  </si>
  <si>
    <t>i.</t>
  </si>
  <si>
    <t xml:space="preserve">AISC Steel Design Guide Series No. 9 - "Torsional Analysis of Structural Steel Members" - </t>
  </si>
  <si>
    <t>"Design of Monorail Systems" - by Thomas H. Orihuela Jr., PE (www.pdhengineer.com)</t>
  </si>
  <si>
    <t>by Paul A. Seaburg, PhD, PE and Charlie J. Carter, PE (1997)</t>
  </si>
  <si>
    <t>AISC Engineering Journal (4th Quarter, 2002)</t>
  </si>
  <si>
    <t xml:space="preserve">"Technical Note: Torsion Analysis of Steel Sections" - by William E. Moore II and Keith M. Mueller - </t>
  </si>
  <si>
    <t xml:space="preserve">"Allowable Bending Stresses for Overhanging Monorails" - by N. Stephen Tanner - </t>
  </si>
  <si>
    <t>AISC Engineering Journal (3rd Quarter, 1985)</t>
  </si>
  <si>
    <t>Table 1: Computed Values</t>
  </si>
  <si>
    <r>
      <t>k = L</t>
    </r>
    <r>
      <rPr>
        <sz val="8"/>
        <rFont val="Arial"/>
        <family val="2"/>
      </rPr>
      <t>o</t>
    </r>
    <r>
      <rPr>
        <sz val="9"/>
        <rFont val="Arial"/>
        <family val="2"/>
      </rPr>
      <t>/(L</t>
    </r>
    <r>
      <rPr>
        <sz val="8"/>
        <rFont val="Arial"/>
        <family val="2"/>
      </rPr>
      <t>o</t>
    </r>
    <r>
      <rPr>
        <sz val="9"/>
        <rFont val="Arial"/>
        <family val="2"/>
      </rPr>
      <t>+L)</t>
    </r>
  </si>
  <si>
    <t>Torsion Analysis for Simple-Span per AISC Design Guide Series No. 9, Case 3:</t>
  </si>
  <si>
    <t>Torsion Analysis for Fixed-End Cantilever per AISC Design Guide Series No. 9, Case 9:</t>
  </si>
  <si>
    <t xml:space="preserve">5.  This program contains “comment boxes” which contain a wide variety of information including explanations of </t>
  </si>
  <si>
    <t xml:space="preserve">4.  This program ignores effects of axial compressive stress produced by any longitudinal (traction) force which is </t>
  </si>
  <si>
    <t xml:space="preserve">      usually considered minimal for underhung, hand-operated monorail systems.</t>
  </si>
  <si>
    <t>Use: Lbo = Lo+L =</t>
  </si>
  <si>
    <t>Index</t>
  </si>
  <si>
    <t>by N. Stephen Tanner - AISC Engineering Journal (3rd Quarter, 1985)</t>
  </si>
  <si>
    <t>From: "Allowable Bending Stresses for Overhanging Monorails"</t>
  </si>
  <si>
    <t>K = Lo/(Lo+L) =</t>
  </si>
  <si>
    <t>Bending Coef., Cbo =</t>
  </si>
  <si>
    <t>Use: Cbo =</t>
  </si>
  <si>
    <t>j.</t>
  </si>
  <si>
    <t>USS Steel Design Manual - Chapter 7 "Torsion" - by R. L. Brockenbrough and B.G. Johnston (1981)</t>
  </si>
  <si>
    <t xml:space="preserve">3.  This program also determines the calculated value of the bending coefficient, 'Cbo', for the overhang (cantilever) </t>
  </si>
  <si>
    <t xml:space="preserve">      Note: if this computed value of 'Cbo' is used and input, then per this reference the total value of Lo+L should be </t>
  </si>
  <si>
    <t xml:space="preserve">      used for the unbraced length, 'Lbo', for the overhang portion of the monorail beam.</t>
  </si>
  <si>
    <t xml:space="preserve">      portion of the monorail beam from reference "e" in note #1 above.  This is located off of the main calculation page.</t>
  </si>
  <si>
    <t>AISC Eng. Journal Article by Tanner:  Lbo = Lo+L (used with a computed value of 'Cbo' from article)</t>
  </si>
  <si>
    <t>Fbx = (2/3-Fy*(Lbo*12/rt)^2/(1530000*Cbo)*Fy &lt;= 0.60*Fy</t>
  </si>
  <si>
    <t>Fbx = 170000*Cbo/(Lbo*12/rt)^2 &lt;= 0.60*Fy</t>
  </si>
  <si>
    <t>Is Lbo&lt;=Lc?</t>
  </si>
  <si>
    <t>Cbo</t>
  </si>
  <si>
    <t>am = (bf/2-tw/2)-(k-tf)  (where: k-tf = radius of fillet)</t>
  </si>
  <si>
    <t>tf2 = tf  (for W-shape)</t>
  </si>
  <si>
    <t>(per USS Steel Design Manual, 1981)</t>
  </si>
  <si>
    <t>Bottom Flange Bending per CMAA Specification No. 74 (2004):</t>
  </si>
  <si>
    <t>Bottom Flange Bending (simplified):</t>
  </si>
  <si>
    <t>Bottom Flange Bending (per CMAA No. 74):</t>
  </si>
  <si>
    <t>fa/Fy = 0, as P(axial) is assumed = 0</t>
  </si>
  <si>
    <t>Resultant Biaxial Stress @ Point 0:</t>
  </si>
  <si>
    <t>Resultant Biaxial Stress @ Point 1:</t>
  </si>
  <si>
    <t>Resultant Biaxial Stress @ Point 2:</t>
  </si>
  <si>
    <r>
      <t>t</t>
    </r>
    <r>
      <rPr>
        <sz val="10"/>
        <color indexed="12"/>
        <rFont val="Arial"/>
        <family val="2"/>
      </rPr>
      <t>xz = 0  (assumed negligible)</t>
    </r>
  </si>
  <si>
    <r>
      <t>t</t>
    </r>
    <r>
      <rPr>
        <sz val="10"/>
        <color indexed="8"/>
        <rFont val="Arial"/>
        <family val="2"/>
      </rPr>
      <t>xz = 0  (assumed negligible)</t>
    </r>
  </si>
  <si>
    <t>Support Reactions:</t>
  </si>
  <si>
    <r>
      <t>R</t>
    </r>
    <r>
      <rPr>
        <sz val="8"/>
        <color indexed="12"/>
        <rFont val="Arial"/>
        <family val="2"/>
      </rPr>
      <t>R(max)</t>
    </r>
    <r>
      <rPr>
        <sz val="10"/>
        <color indexed="12"/>
        <rFont val="Arial"/>
        <family val="2"/>
      </rPr>
      <t xml:space="preserve"> </t>
    </r>
    <r>
      <rPr>
        <sz val="10"/>
        <color indexed="12"/>
        <rFont val="Arial"/>
        <family val="2"/>
      </rPr>
      <t>=</t>
    </r>
  </si>
  <si>
    <r>
      <t>R</t>
    </r>
    <r>
      <rPr>
        <sz val="8"/>
        <color indexed="12"/>
        <rFont val="Arial"/>
        <family val="2"/>
      </rPr>
      <t>L(min)</t>
    </r>
    <r>
      <rPr>
        <sz val="10"/>
        <color indexed="12"/>
        <rFont val="Arial"/>
        <family val="2"/>
      </rPr>
      <t xml:space="preserve"> </t>
    </r>
    <r>
      <rPr>
        <sz val="10"/>
        <color indexed="12"/>
        <rFont val="Arial"/>
        <family val="2"/>
      </rPr>
      <t>=</t>
    </r>
  </si>
  <si>
    <r>
      <t>R</t>
    </r>
    <r>
      <rPr>
        <sz val="8"/>
        <color indexed="12"/>
        <rFont val="Arial"/>
        <family val="2"/>
      </rPr>
      <t>R(max)</t>
    </r>
    <r>
      <rPr>
        <sz val="10"/>
        <color indexed="12"/>
        <rFont val="Arial"/>
        <family val="2"/>
      </rPr>
      <t xml:space="preserve"> </t>
    </r>
    <r>
      <rPr>
        <sz val="10"/>
        <color indexed="12"/>
        <rFont val="Arial"/>
        <family val="2"/>
      </rPr>
      <t xml:space="preserve">= </t>
    </r>
  </si>
  <si>
    <t>For Lo = 0 (no overhang):</t>
  </si>
  <si>
    <t>For Lo &gt; 0 (with overhang):</t>
  </si>
  <si>
    <r>
      <t>R</t>
    </r>
    <r>
      <rPr>
        <sz val="8"/>
        <rFont val="Arial"/>
        <family val="2"/>
      </rPr>
      <t>L(min)</t>
    </r>
    <r>
      <rPr>
        <sz val="10"/>
        <rFont val="Arial"/>
        <family val="0"/>
      </rPr>
      <t xml:space="preserve"> =</t>
    </r>
  </si>
  <si>
    <r>
      <t>R</t>
    </r>
    <r>
      <rPr>
        <sz val="8"/>
        <rFont val="Arial"/>
        <family val="2"/>
      </rPr>
      <t>R(max)</t>
    </r>
    <r>
      <rPr>
        <sz val="10"/>
        <rFont val="Arial"/>
        <family val="0"/>
      </rPr>
      <t xml:space="preserve"> =</t>
    </r>
  </si>
  <si>
    <t>unit weight/foot of beam</t>
  </si>
  <si>
    <t>k.</t>
  </si>
  <si>
    <t>British Steel Code B.S. 449, pages 42-44 (1959)</t>
  </si>
  <si>
    <t>British Steel Code B.S. 449:  Lbo = 2*Lo  (for top flange of monorail beam restrained at support)</t>
  </si>
  <si>
    <r>
      <t xml:space="preserve">British Steel Code B.S. 449:  </t>
    </r>
    <r>
      <rPr>
        <sz val="9"/>
        <rFont val="Arial"/>
        <family val="2"/>
      </rPr>
      <t>Lbo = 3*Lo  (for top flange of monorail beam unrestrained at support)</t>
    </r>
  </si>
  <si>
    <t xml:space="preserve">2.  The unbraced length for the overhang (cantilever) portion, 'Lbo', of an underhung monorail beam is often debated.  </t>
  </si>
  <si>
    <t>Fbx = 12000*Cb/(Lb*12*(d/Af)) &lt;= 0.60*Fy</t>
  </si>
  <si>
    <t>Fbx = 12000*Cbo/(Lbo*12*(d/Af)) &lt;= 0.60*Fy</t>
  </si>
  <si>
    <t>fbyo =</t>
  </si>
  <si>
    <t>fby1 =</t>
  </si>
  <si>
    <t>fbx2 =</t>
  </si>
  <si>
    <t>fby2 =</t>
  </si>
  <si>
    <t>fbxo =</t>
  </si>
  <si>
    <r>
      <t>s</t>
    </r>
    <r>
      <rPr>
        <sz val="10"/>
        <color indexed="8"/>
        <rFont val="Arial"/>
        <family val="2"/>
      </rPr>
      <t>z = fbxo+fbyo+0.75*</t>
    </r>
    <r>
      <rPr>
        <sz val="10"/>
        <color indexed="8"/>
        <rFont val="Symbol"/>
        <family val="1"/>
      </rPr>
      <t>s</t>
    </r>
    <r>
      <rPr>
        <sz val="10"/>
        <color indexed="8"/>
        <rFont val="Arial"/>
        <family val="2"/>
      </rPr>
      <t>zo</t>
    </r>
  </si>
  <si>
    <t>fbx1 =</t>
  </si>
  <si>
    <r>
      <t>s</t>
    </r>
    <r>
      <rPr>
        <sz val="10"/>
        <color indexed="8"/>
        <rFont val="Arial"/>
        <family val="2"/>
      </rPr>
      <t>z = fbx2+fby2+0.75*</t>
    </r>
    <r>
      <rPr>
        <sz val="10"/>
        <color indexed="8"/>
        <rFont val="Symbol"/>
        <family val="1"/>
      </rPr>
      <t>s</t>
    </r>
    <r>
      <rPr>
        <sz val="10"/>
        <color indexed="8"/>
        <rFont val="Arial"/>
        <family val="2"/>
      </rPr>
      <t>z2</t>
    </r>
  </si>
  <si>
    <r>
      <t>s</t>
    </r>
    <r>
      <rPr>
        <sz val="10"/>
        <color indexed="8"/>
        <rFont val="Arial"/>
        <family val="2"/>
      </rPr>
      <t>z = fbx1+fby1+0.75*</t>
    </r>
    <r>
      <rPr>
        <sz val="10"/>
        <color indexed="8"/>
        <rFont val="Symbol"/>
        <family val="1"/>
      </rPr>
      <t>s</t>
    </r>
    <r>
      <rPr>
        <sz val="10"/>
        <color indexed="8"/>
        <rFont val="Arial"/>
        <family val="2"/>
      </rPr>
      <t>z1</t>
    </r>
  </si>
  <si>
    <t>fby1 = My*(bf/2-a)/Iy</t>
  </si>
  <si>
    <t>fbyo = My*(tw/2)/Iy</t>
  </si>
  <si>
    <t>fbx2 = Mx*(d/2-tf)/Ix</t>
  </si>
  <si>
    <t>fbxo = Mx*(d/2)/Ix = Mx/Sx</t>
  </si>
  <si>
    <t>fbx1 = Mx*(d/2)/Ix = Mx/Sx</t>
  </si>
  <si>
    <t>fby2 = My*(tw/2)/Iy</t>
  </si>
  <si>
    <r>
      <t>s</t>
    </r>
    <r>
      <rPr>
        <sz val="10"/>
        <color indexed="12"/>
        <rFont val="Arial"/>
        <family val="2"/>
      </rPr>
      <t>z = fbxo+fbyo+0.75*</t>
    </r>
    <r>
      <rPr>
        <sz val="10"/>
        <color indexed="12"/>
        <rFont val="Symbol"/>
        <family val="1"/>
      </rPr>
      <t>s</t>
    </r>
    <r>
      <rPr>
        <sz val="10"/>
        <color indexed="12"/>
        <rFont val="Arial"/>
        <family val="2"/>
      </rPr>
      <t>zo</t>
    </r>
  </si>
  <si>
    <r>
      <t>s</t>
    </r>
    <r>
      <rPr>
        <sz val="10"/>
        <color indexed="12"/>
        <rFont val="Arial"/>
        <family val="2"/>
      </rPr>
      <t>z = fbx1+fby1+0.75*</t>
    </r>
    <r>
      <rPr>
        <sz val="10"/>
        <color indexed="12"/>
        <rFont val="Symbol"/>
        <family val="1"/>
      </rPr>
      <t>s</t>
    </r>
    <r>
      <rPr>
        <sz val="10"/>
        <color indexed="12"/>
        <rFont val="Arial"/>
        <family val="2"/>
      </rPr>
      <t>z1</t>
    </r>
  </si>
  <si>
    <r>
      <t>s</t>
    </r>
    <r>
      <rPr>
        <sz val="10"/>
        <color indexed="12"/>
        <rFont val="Arial"/>
        <family val="2"/>
      </rPr>
      <t>z = fbx2+fby2+0.75*</t>
    </r>
    <r>
      <rPr>
        <sz val="10"/>
        <color indexed="12"/>
        <rFont val="Symbol"/>
        <family val="1"/>
      </rPr>
      <t>s</t>
    </r>
    <r>
      <rPr>
        <sz val="10"/>
        <color indexed="12"/>
        <rFont val="Arial"/>
        <family val="2"/>
      </rPr>
      <t>z2</t>
    </r>
  </si>
  <si>
    <t>Mf = Pw*(am-a)</t>
  </si>
  <si>
    <t>Note: sketch depicts Nw = 4,</t>
  </si>
  <si>
    <t>for 2-pairs of wheels.</t>
  </si>
  <si>
    <t>Version 2.1</t>
  </si>
  <si>
    <t>Note: the calculation below is only used as a comparison/check against the main calculation to the left.</t>
  </si>
  <si>
    <r>
      <t>a</t>
    </r>
    <r>
      <rPr>
        <sz val="10"/>
        <color indexed="12"/>
        <rFont val="Arial"/>
        <family val="2"/>
      </rPr>
      <t xml:space="preserve"> =</t>
    </r>
  </si>
  <si>
    <r>
      <t>a</t>
    </r>
    <r>
      <rPr>
        <sz val="10"/>
        <color indexed="12"/>
        <rFont val="Arial"/>
        <family val="2"/>
      </rPr>
      <t xml:space="preserve"> = 0.500 (torque assumed at midspan)</t>
    </r>
  </si>
  <si>
    <r>
      <t>c2 = SINH(</t>
    </r>
    <r>
      <rPr>
        <sz val="10"/>
        <color indexed="12"/>
        <rFont val="Symbol"/>
        <family val="1"/>
      </rPr>
      <t>a</t>
    </r>
    <r>
      <rPr>
        <sz val="10"/>
        <color indexed="12"/>
        <rFont val="Arial"/>
        <family val="2"/>
      </rPr>
      <t>*L*12/at)/TANH(L*12/at)-COSH(</t>
    </r>
    <r>
      <rPr>
        <sz val="10"/>
        <color indexed="12"/>
        <rFont val="Symbol"/>
        <family val="1"/>
      </rPr>
      <t>a</t>
    </r>
    <r>
      <rPr>
        <sz val="10"/>
        <color indexed="12"/>
        <rFont val="Arial"/>
        <family val="2"/>
      </rPr>
      <t>*L*12/at)</t>
    </r>
  </si>
  <si>
    <r>
      <t>q</t>
    </r>
    <r>
      <rPr>
        <sz val="10"/>
        <color indexed="12"/>
        <rFont val="Arial"/>
        <family val="2"/>
      </rPr>
      <t>'' =</t>
    </r>
  </si>
  <si>
    <r>
      <t>q</t>
    </r>
    <r>
      <rPr>
        <sz val="10"/>
        <color indexed="12"/>
        <rFont val="Arial"/>
        <family val="2"/>
      </rPr>
      <t>'' = c1*c2/at*SINH(z/at)</t>
    </r>
  </si>
  <si>
    <r>
      <t>s</t>
    </r>
    <r>
      <rPr>
        <sz val="10"/>
        <color indexed="12"/>
        <rFont val="Arial"/>
        <family val="2"/>
      </rPr>
      <t>n =</t>
    </r>
  </si>
  <si>
    <r>
      <t>s</t>
    </r>
    <r>
      <rPr>
        <sz val="10"/>
        <color indexed="12"/>
        <rFont val="Arial"/>
        <family val="2"/>
      </rPr>
      <t>n = ABS(E*Wns*</t>
    </r>
    <r>
      <rPr>
        <sz val="10"/>
        <color indexed="12"/>
        <rFont val="Symbol"/>
        <family val="1"/>
      </rPr>
      <t>q</t>
    </r>
    <r>
      <rPr>
        <sz val="10"/>
        <color indexed="12"/>
        <rFont val="Arial"/>
        <family val="2"/>
      </rPr>
      <t>'') (warping normal stress)</t>
    </r>
  </si>
  <si>
    <r>
      <t>a</t>
    </r>
    <r>
      <rPr>
        <sz val="10"/>
        <color indexed="12"/>
        <rFont val="Arial"/>
        <family val="2"/>
      </rPr>
      <t xml:space="preserve"> = 1.000 (torque assumed at free end of cantilever)</t>
    </r>
  </si>
  <si>
    <r>
      <t>c2 = SINH(</t>
    </r>
    <r>
      <rPr>
        <sz val="10"/>
        <color indexed="12"/>
        <rFont val="Symbol"/>
        <family val="1"/>
      </rPr>
      <t>a</t>
    </r>
    <r>
      <rPr>
        <sz val="10"/>
        <color indexed="12"/>
        <rFont val="Arial"/>
        <family val="2"/>
      </rPr>
      <t>*Lo*12/at)-TANH(Lo*12/at)*COSH(</t>
    </r>
    <r>
      <rPr>
        <sz val="10"/>
        <color indexed="12"/>
        <rFont val="Symbol"/>
        <family val="1"/>
      </rPr>
      <t>a</t>
    </r>
    <r>
      <rPr>
        <sz val="10"/>
        <color indexed="12"/>
        <rFont val="Arial"/>
        <family val="2"/>
      </rPr>
      <t>*Lo*12/at)+TANH(Lo*12/at)</t>
    </r>
  </si>
  <si>
    <r>
      <t>q</t>
    </r>
    <r>
      <rPr>
        <sz val="10"/>
        <color indexed="12"/>
        <rFont val="Arial"/>
        <family val="2"/>
      </rPr>
      <t>'' = c1/at*(c2*COSH(z/at)-SINH(z/at))</t>
    </r>
  </si>
  <si>
    <t>(from CMAA Specification No. 74, Section 1.4.1.2)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</si>
</sst>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0.000E+00"/>
    <numFmt numFmtId="169" formatCode="&quot;$&quot;#,##0\ ;\(&quot;$&quot;#,##0\)"/>
    <numFmt numFmtId="170" formatCode="0.000_)"/>
    <numFmt numFmtId="171" formatCode=".00"/>
    <numFmt numFmtId="172" formatCode="0.0000000"/>
    <numFmt numFmtId="173" formatCode="0.000000"/>
    <numFmt numFmtId="174" formatCode="0.00000000"/>
    <numFmt numFmtId="175" formatCode="0.000000000"/>
    <numFmt numFmtId="176" formatCode="00000"/>
    <numFmt numFmtId="177" formatCode="0.0000000000"/>
    <numFmt numFmtId="178" formatCode="0.000000000000"/>
    <numFmt numFmtId="179" formatCode="0.00000000000000000"/>
    <numFmt numFmtId="180" formatCode="0.0000000000000000"/>
    <numFmt numFmtId="181" formatCode="0.000000000000000000"/>
    <numFmt numFmtId="182" formatCode="0.0000000000000000000"/>
    <numFmt numFmtId="183" formatCode="0.000000000000000"/>
    <numFmt numFmtId="184" formatCode="0.00000000000000"/>
    <numFmt numFmtId="185" formatCode="0.0000000000000"/>
    <numFmt numFmtId="186" formatCode="0.00000000000"/>
    <numFmt numFmtId="187" formatCode="&quot;$&quot;#,##0\ ;[Red]\(&quot;$&quot;#,##0\)"/>
    <numFmt numFmtId="188" formatCode="&quot;$&quot;#,##0.00\ ;\(&quot;$&quot;#,##0.00\)"/>
    <numFmt numFmtId="189" formatCode="&quot;$&quot;#,##0.00\ ;[Red]\(&quot;$&quot;#,##0.00\)"/>
    <numFmt numFmtId="190" formatCode="m/d"/>
    <numFmt numFmtId="191" formatCode="mm/dd/yy"/>
    <numFmt numFmtId="192" formatCode="dd\-mmm\-yy"/>
    <numFmt numFmtId="193" formatCode="dd\-mmm"/>
    <numFmt numFmtId="194" formatCode="mm/dd/yy\ h:mm"/>
    <numFmt numFmtId="195" formatCode="0.0000E+00"/>
    <numFmt numFmtId="196" formatCode="0.00_)"/>
    <numFmt numFmtId="197" formatCode="mm/dd/yyyy"/>
    <numFmt numFmtId="198" formatCode="0;[Red]0"/>
    <numFmt numFmtId="199" formatCode="m/d/yy\ h:mm\ AM/PM"/>
    <numFmt numFmtId="200" formatCode="#\ ?/4"/>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 #,##0_-;\-* #,##0_-;_-* &quot;-&quot;_-;_-@_-"/>
    <numFmt numFmtId="207" formatCode="_-&quot;£&quot;* #,##0.00_-;\-&quot;£&quot;* #,##0.00_-;_-&quot;£&quot;* &quot;-&quot;??_-;_-@_-"/>
    <numFmt numFmtId="208" formatCode="_-* #,##0.00_-;\-* #,##0.00_-;_-* &quot;-&quot;??_-;_-@_-"/>
    <numFmt numFmtId="209" formatCode="0\ &quot;ksi&quot;"/>
    <numFmt numFmtId="210" formatCode="#\ ?/8"/>
    <numFmt numFmtId="211" formatCode="#\ ?/16\ &quot;in.&quot;"/>
    <numFmt numFmtId="212" formatCode="#\ ?/8\ &quot;in.&quot;"/>
    <numFmt numFmtId="213" formatCode="#\ ?/2\ &quot;in.&quot;"/>
    <numFmt numFmtId="214" formatCode="#\ ?/4\ &quot;in.&quot;"/>
    <numFmt numFmtId="215" formatCode="0\ &quot;in.&quot;"/>
    <numFmt numFmtId="216" formatCode="_(* #,##0.000_);_(* \(#,##0.000\);_(* &quot;-&quot;??_);_(@_)"/>
    <numFmt numFmtId="217" formatCode="0.0%"/>
    <numFmt numFmtId="218" formatCode="0.00\ \k"/>
    <numFmt numFmtId="219" formatCode="0.00\ \f\t\-\k"/>
    <numFmt numFmtId="220" formatCode="0.00\ \f\t."/>
    <numFmt numFmtId="221" formatCode="0.000\ \i\n."/>
    <numFmt numFmtId="222" formatCode="0.0000\ \f\t."/>
    <numFmt numFmtId="223" formatCode="0.00\ \i\n.\^\4"/>
    <numFmt numFmtId="224" formatCode="0.0000\ \k\p\f"/>
    <numFmt numFmtId="225" formatCode="0.0000000E+00;\੄"/>
  </numFmts>
  <fonts count="68">
    <font>
      <sz val="10"/>
      <name val="Arial"/>
      <family val="0"/>
    </font>
    <font>
      <sz val="10"/>
      <name val="Symbol"/>
      <family val="1"/>
    </font>
    <font>
      <b/>
      <u val="single"/>
      <sz val="10"/>
      <name val="Arial"/>
      <family val="2"/>
    </font>
    <font>
      <sz val="10"/>
      <color indexed="12"/>
      <name val="Arial"/>
      <family val="2"/>
    </font>
    <font>
      <sz val="10"/>
      <color indexed="24"/>
      <name val="Arial"/>
      <family val="2"/>
    </font>
    <font>
      <u val="single"/>
      <sz val="10"/>
      <color indexed="36"/>
      <name val="Arial"/>
      <family val="2"/>
    </font>
    <font>
      <b/>
      <sz val="18"/>
      <color indexed="24"/>
      <name val="Arial"/>
      <family val="2"/>
    </font>
    <font>
      <b/>
      <sz val="12"/>
      <color indexed="24"/>
      <name val="Arial"/>
      <family val="2"/>
    </font>
    <font>
      <u val="single"/>
      <sz val="10"/>
      <color indexed="12"/>
      <name val="Arial"/>
      <family val="2"/>
    </font>
    <font>
      <b/>
      <sz val="10"/>
      <name val="Arial"/>
      <family val="2"/>
    </font>
    <font>
      <sz val="8"/>
      <color indexed="12"/>
      <name val="Arial"/>
      <family val="2"/>
    </font>
    <font>
      <b/>
      <sz val="12"/>
      <name val="Arial"/>
      <family val="2"/>
    </font>
    <font>
      <b/>
      <sz val="10"/>
      <color indexed="10"/>
      <name val="Arial"/>
      <family val="2"/>
    </font>
    <font>
      <sz val="10"/>
      <color indexed="8"/>
      <name val="Arial"/>
      <family val="2"/>
    </font>
    <font>
      <sz val="8"/>
      <name val="Arial"/>
      <family val="2"/>
    </font>
    <font>
      <sz val="10"/>
      <color indexed="12"/>
      <name val="Symbol"/>
      <family val="1"/>
    </font>
    <font>
      <sz val="10"/>
      <color indexed="8"/>
      <name val="Symbol"/>
      <family val="1"/>
    </font>
    <font>
      <b/>
      <sz val="10"/>
      <color indexed="8"/>
      <name val="Arial"/>
      <family val="2"/>
    </font>
    <font>
      <sz val="10"/>
      <color indexed="10"/>
      <name val="Arial"/>
      <family val="2"/>
    </font>
    <font>
      <sz val="9"/>
      <color indexed="12"/>
      <name val="Arial"/>
      <family val="2"/>
    </font>
    <font>
      <sz val="8"/>
      <color indexed="8"/>
      <name val="Arial"/>
      <family val="2"/>
    </font>
    <font>
      <b/>
      <u val="single"/>
      <sz val="10"/>
      <color indexed="8"/>
      <name val="Arial"/>
      <family val="2"/>
    </font>
    <font>
      <b/>
      <sz val="10"/>
      <color indexed="12"/>
      <name val="Arial"/>
      <family val="2"/>
    </font>
    <font>
      <b/>
      <u val="single"/>
      <sz val="10"/>
      <color indexed="12"/>
      <name val="Arial"/>
      <family val="2"/>
    </font>
    <font>
      <b/>
      <sz val="8"/>
      <name val="Tahoma"/>
      <family val="2"/>
    </font>
    <font>
      <sz val="8"/>
      <name val="Tahoma"/>
      <family val="2"/>
    </font>
    <font>
      <b/>
      <u val="single"/>
      <sz val="12"/>
      <name val="Arial"/>
      <family val="2"/>
    </font>
    <font>
      <sz val="9"/>
      <name val="Arial"/>
      <family val="2"/>
    </font>
    <font>
      <b/>
      <sz val="9"/>
      <name val="Arial"/>
      <family val="2"/>
    </font>
    <font>
      <sz val="9"/>
      <color indexed="8"/>
      <name val="Arial"/>
      <family val="2"/>
    </font>
    <font>
      <u val="single"/>
      <sz val="9"/>
      <name val="Arial"/>
      <family val="2"/>
    </font>
    <font>
      <b/>
      <sz val="9"/>
      <color indexed="8"/>
      <name val="Arial"/>
      <family val="2"/>
    </font>
    <font>
      <sz val="9"/>
      <color indexed="9"/>
      <name val="Arial"/>
      <family val="2"/>
    </font>
    <font>
      <i/>
      <sz val="8"/>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FF0000"/>
      <name val="Arial"/>
      <family val="2"/>
    </font>
    <font>
      <sz val="10"/>
      <color rgb="FF0000FF"/>
      <name val="Arial"/>
      <family val="2"/>
    </font>
    <font>
      <u val="single"/>
      <sz val="10"/>
      <color rgb="FF0000FF"/>
      <name val="Arial"/>
      <family val="2"/>
    </font>
    <font>
      <sz val="10"/>
      <color rgb="FF0000FF"/>
      <name val="Symbol"/>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color indexed="63"/>
      </top>
      <bottom style="thin">
        <color indexed="22"/>
      </bottom>
    </border>
    <border>
      <left style="thin">
        <color indexed="22"/>
      </left>
      <right style="thin">
        <color indexed="22"/>
      </right>
      <top>
        <color indexed="63"/>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right style="thin"/>
      <top style="thin">
        <color indexed="22"/>
      </top>
      <bottom style="thin"/>
    </border>
    <border>
      <left style="thin">
        <color indexed="22"/>
      </left>
      <right style="thin">
        <color indexed="22"/>
      </right>
      <top style="thin">
        <color indexed="22"/>
      </top>
      <bottom style="thin"/>
    </border>
    <border>
      <left>
        <color indexed="63"/>
      </left>
      <right style="thin">
        <color indexed="22"/>
      </right>
      <top>
        <color indexed="63"/>
      </top>
      <bottom style="thin">
        <color indexed="22"/>
      </bottom>
    </border>
    <border>
      <left>
        <color indexed="63"/>
      </left>
      <right style="thin">
        <color indexed="22"/>
      </right>
      <top style="thin">
        <color indexed="22"/>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color indexed="22"/>
      </left>
      <right style="thin"/>
      <top>
        <color indexed="63"/>
      </top>
      <bottom style="thin">
        <color indexed="22"/>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4" fillId="0" borderId="0" applyFont="0" applyFill="0" applyBorder="0" applyAlignment="0" applyProtection="0"/>
    <xf numFmtId="0" fontId="4" fillId="0" borderId="0" applyFont="0" applyFill="0" applyBorder="0" applyAlignment="0" applyProtection="0"/>
    <xf numFmtId="0" fontId="54" fillId="0" borderId="0" applyNumberFormat="0" applyFill="0" applyBorder="0" applyAlignment="0" applyProtection="0"/>
    <xf numFmtId="2" fontId="4" fillId="0" borderId="0" applyFont="0" applyFill="0" applyBorder="0" applyAlignment="0" applyProtection="0"/>
    <xf numFmtId="0" fontId="5" fillId="0" borderId="0" applyNumberFormat="0" applyFill="0" applyBorder="0" applyAlignment="0" applyProtection="0"/>
    <xf numFmtId="0" fontId="55"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6" fillId="0" borderId="3" applyNumberFormat="0" applyFill="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30" borderId="1" applyNumberFormat="0" applyAlignment="0" applyProtection="0"/>
    <xf numFmtId="0" fontId="58" fillId="0" borderId="4" applyNumberFormat="0" applyFill="0" applyAlignment="0" applyProtection="0"/>
    <xf numFmtId="0" fontId="59" fillId="31" borderId="0" applyNumberFormat="0" applyBorder="0" applyAlignment="0" applyProtection="0"/>
    <xf numFmtId="0" fontId="0" fillId="32" borderId="5" applyNumberFormat="0" applyFont="0" applyAlignment="0" applyProtection="0"/>
    <xf numFmtId="0" fontId="60" fillId="27" borderId="6"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4" fillId="0" borderId="7" applyNumberFormat="0" applyFont="0" applyFill="0" applyAlignment="0" applyProtection="0"/>
    <xf numFmtId="0" fontId="62" fillId="0" borderId="0" applyNumberFormat="0" applyFill="0" applyBorder="0" applyAlignment="0" applyProtection="0"/>
  </cellStyleXfs>
  <cellXfs count="327">
    <xf numFmtId="0" fontId="0" fillId="0" borderId="0" xfId="0" applyAlignment="1">
      <alignment/>
    </xf>
    <xf numFmtId="166" fontId="3" fillId="33" borderId="0" xfId="0" applyNumberFormat="1" applyFont="1" applyFill="1" applyAlignment="1" applyProtection="1">
      <alignment horizontal="center"/>
      <protection hidden="1"/>
    </xf>
    <xf numFmtId="0" fontId="0" fillId="33" borderId="0" xfId="0" applyFill="1" applyAlignment="1" applyProtection="1">
      <alignment/>
      <protection hidden="1"/>
    </xf>
    <xf numFmtId="0" fontId="3" fillId="33" borderId="8" xfId="0" applyFont="1" applyFill="1" applyBorder="1" applyAlignment="1" applyProtection="1">
      <alignment horizontal="centerContinuous"/>
      <protection hidden="1"/>
    </xf>
    <xf numFmtId="0" fontId="3" fillId="33" borderId="9" xfId="0" applyFont="1" applyFill="1" applyBorder="1" applyAlignment="1" applyProtection="1">
      <alignment horizontal="centerContinuous"/>
      <protection hidden="1"/>
    </xf>
    <xf numFmtId="0" fontId="3" fillId="33" borderId="10" xfId="0" applyFont="1" applyFill="1" applyBorder="1" applyAlignment="1" applyProtection="1">
      <alignment horizontal="center"/>
      <protection hidden="1"/>
    </xf>
    <xf numFmtId="2" fontId="3" fillId="33" borderId="11" xfId="0" applyNumberFormat="1" applyFont="1" applyFill="1" applyBorder="1" applyAlignment="1" applyProtection="1">
      <alignment horizontal="center"/>
      <protection hidden="1"/>
    </xf>
    <xf numFmtId="166" fontId="3" fillId="33" borderId="12" xfId="0" applyNumberFormat="1" applyFont="1" applyFill="1" applyBorder="1" applyAlignment="1" applyProtection="1">
      <alignment horizontal="center"/>
      <protection hidden="1"/>
    </xf>
    <xf numFmtId="2" fontId="3" fillId="33" borderId="12" xfId="0" applyNumberFormat="1" applyFont="1" applyFill="1" applyBorder="1" applyAlignment="1" applyProtection="1">
      <alignment horizontal="center"/>
      <protection hidden="1"/>
    </xf>
    <xf numFmtId="0" fontId="3" fillId="33" borderId="10" xfId="0" applyNumberFormat="1" applyFont="1" applyFill="1" applyBorder="1" applyAlignment="1" applyProtection="1">
      <alignment horizontal="center"/>
      <protection hidden="1"/>
    </xf>
    <xf numFmtId="0" fontId="10" fillId="33" borderId="13" xfId="0" applyFont="1" applyFill="1" applyBorder="1" applyAlignment="1" applyProtection="1">
      <alignment horizontal="center"/>
      <protection hidden="1"/>
    </xf>
    <xf numFmtId="0" fontId="10" fillId="33" borderId="14" xfId="0" applyNumberFormat="1" applyFont="1" applyFill="1" applyBorder="1" applyAlignment="1" applyProtection="1">
      <alignment horizontal="center"/>
      <protection hidden="1"/>
    </xf>
    <xf numFmtId="0" fontId="10" fillId="33" borderId="12" xfId="0" applyFont="1" applyFill="1" applyBorder="1" applyAlignment="1" applyProtection="1">
      <alignment horizontal="center"/>
      <protection hidden="1"/>
    </xf>
    <xf numFmtId="0" fontId="10" fillId="33" borderId="15" xfId="0" applyNumberFormat="1" applyFont="1" applyFill="1" applyBorder="1" applyAlignment="1" applyProtection="1">
      <alignment horizontal="center"/>
      <protection hidden="1"/>
    </xf>
    <xf numFmtId="0" fontId="10" fillId="33" borderId="16" xfId="0" applyNumberFormat="1" applyFont="1" applyFill="1" applyBorder="1" applyAlignment="1" applyProtection="1">
      <alignment horizontal="center"/>
      <protection hidden="1"/>
    </xf>
    <xf numFmtId="2" fontId="3" fillId="33" borderId="11" xfId="0" applyNumberFormat="1" applyFont="1" applyFill="1" applyBorder="1" applyAlignment="1" applyProtection="1">
      <alignment horizontal="center"/>
      <protection hidden="1"/>
    </xf>
    <xf numFmtId="2" fontId="3" fillId="33" borderId="17" xfId="0" applyNumberFormat="1" applyFont="1" applyFill="1" applyBorder="1" applyAlignment="1" applyProtection="1">
      <alignment horizontal="center"/>
      <protection hidden="1"/>
    </xf>
    <xf numFmtId="2" fontId="3" fillId="33" borderId="12" xfId="0" applyNumberFormat="1" applyFont="1" applyFill="1" applyBorder="1" applyAlignment="1" applyProtection="1">
      <alignment horizontal="center"/>
      <protection hidden="1"/>
    </xf>
    <xf numFmtId="0" fontId="10" fillId="33" borderId="17" xfId="0" applyFont="1" applyFill="1" applyBorder="1" applyAlignment="1" applyProtection="1">
      <alignment horizontal="center"/>
      <protection hidden="1"/>
    </xf>
    <xf numFmtId="0" fontId="10" fillId="33" borderId="18" xfId="0" applyNumberFormat="1" applyFont="1" applyFill="1" applyBorder="1" applyAlignment="1" applyProtection="1">
      <alignment horizontal="center"/>
      <protection hidden="1"/>
    </xf>
    <xf numFmtId="0" fontId="10" fillId="33" borderId="19" xfId="0" applyFont="1" applyFill="1" applyBorder="1" applyAlignment="1" applyProtection="1">
      <alignment horizontal="center"/>
      <protection hidden="1"/>
    </xf>
    <xf numFmtId="0" fontId="10" fillId="33" borderId="14" xfId="0" applyFont="1" applyFill="1" applyBorder="1" applyAlignment="1" applyProtection="1">
      <alignment horizontal="center"/>
      <protection hidden="1"/>
    </xf>
    <xf numFmtId="0" fontId="10" fillId="33" borderId="15" xfId="0" applyFont="1" applyFill="1" applyBorder="1" applyAlignment="1" applyProtection="1">
      <alignment horizontal="center"/>
      <protection hidden="1"/>
    </xf>
    <xf numFmtId="0" fontId="10" fillId="33" borderId="16" xfId="0" applyFont="1" applyFill="1" applyBorder="1" applyAlignment="1" applyProtection="1">
      <alignment horizontal="center"/>
      <protection hidden="1"/>
    </xf>
    <xf numFmtId="0" fontId="10" fillId="33" borderId="20" xfId="0" applyFont="1" applyFill="1" applyBorder="1" applyAlignment="1" applyProtection="1">
      <alignment horizontal="center"/>
      <protection hidden="1"/>
    </xf>
    <xf numFmtId="0" fontId="10" fillId="33" borderId="18" xfId="0" applyFont="1" applyFill="1" applyBorder="1" applyAlignment="1" applyProtection="1">
      <alignment horizontal="center"/>
      <protection hidden="1"/>
    </xf>
    <xf numFmtId="166" fontId="3" fillId="33" borderId="11" xfId="0" applyNumberFormat="1" applyFont="1" applyFill="1" applyBorder="1" applyAlignment="1" applyProtection="1">
      <alignment horizontal="center"/>
      <protection hidden="1"/>
    </xf>
    <xf numFmtId="166" fontId="3" fillId="33" borderId="12" xfId="0" applyNumberFormat="1" applyFont="1" applyFill="1" applyBorder="1" applyAlignment="1" applyProtection="1">
      <alignment horizontal="center"/>
      <protection hidden="1"/>
    </xf>
    <xf numFmtId="166" fontId="3" fillId="33" borderId="17" xfId="0" applyNumberFormat="1" applyFont="1" applyFill="1" applyBorder="1" applyAlignment="1" applyProtection="1">
      <alignment horizontal="center"/>
      <protection hidden="1"/>
    </xf>
    <xf numFmtId="0" fontId="3" fillId="33" borderId="0" xfId="0" applyFont="1" applyFill="1" applyBorder="1" applyAlignment="1" applyProtection="1">
      <alignment/>
      <protection hidden="1"/>
    </xf>
    <xf numFmtId="0" fontId="13" fillId="33" borderId="0" xfId="0" applyFont="1" applyFill="1" applyBorder="1" applyAlignment="1" applyProtection="1">
      <alignment vertical="justify"/>
      <protection hidden="1"/>
    </xf>
    <xf numFmtId="0" fontId="0" fillId="33" borderId="21" xfId="0" applyFill="1" applyBorder="1" applyAlignment="1" applyProtection="1">
      <alignment horizontal="center"/>
      <protection hidden="1"/>
    </xf>
    <xf numFmtId="49" fontId="3" fillId="33" borderId="22" xfId="0" applyNumberFormat="1" applyFont="1" applyFill="1" applyBorder="1" applyAlignment="1" applyProtection="1">
      <alignment/>
      <protection locked="0"/>
    </xf>
    <xf numFmtId="49" fontId="3" fillId="33" borderId="23" xfId="0" applyNumberFormat="1" applyFont="1" applyFill="1" applyBorder="1" applyAlignment="1" applyProtection="1">
      <alignment/>
      <protection locked="0"/>
    </xf>
    <xf numFmtId="0" fontId="13" fillId="33" borderId="21" xfId="0" applyFont="1" applyFill="1" applyBorder="1" applyAlignment="1" applyProtection="1">
      <alignment horizontal="center"/>
      <protection hidden="1"/>
    </xf>
    <xf numFmtId="0" fontId="3" fillId="33" borderId="8" xfId="0" applyFont="1" applyFill="1" applyBorder="1" applyAlignment="1" applyProtection="1">
      <alignment/>
      <protection locked="0"/>
    </xf>
    <xf numFmtId="0" fontId="3" fillId="33" borderId="9" xfId="0" applyFont="1" applyFill="1" applyBorder="1" applyAlignment="1" applyProtection="1">
      <alignment/>
      <protection locked="0"/>
    </xf>
    <xf numFmtId="0" fontId="3" fillId="33" borderId="24" xfId="0" applyFont="1" applyFill="1" applyBorder="1" applyAlignment="1" applyProtection="1">
      <alignment/>
      <protection locked="0"/>
    </xf>
    <xf numFmtId="49" fontId="3" fillId="33" borderId="8" xfId="0" applyNumberFormat="1" applyFont="1" applyFill="1" applyBorder="1" applyAlignment="1" applyProtection="1" quotePrefix="1">
      <alignment/>
      <protection locked="0"/>
    </xf>
    <xf numFmtId="49" fontId="3" fillId="33" borderId="9" xfId="0" applyNumberFormat="1" applyFont="1" applyFill="1" applyBorder="1" applyAlignment="1" applyProtection="1">
      <alignment/>
      <protection locked="0"/>
    </xf>
    <xf numFmtId="0" fontId="13" fillId="33" borderId="10" xfId="0" applyFont="1" applyFill="1" applyBorder="1" applyAlignment="1" applyProtection="1">
      <alignment horizontal="center"/>
      <protection hidden="1"/>
    </xf>
    <xf numFmtId="0" fontId="3" fillId="33" borderId="24" xfId="0" applyFont="1" applyFill="1" applyBorder="1" applyAlignment="1" applyProtection="1">
      <alignment/>
      <protection locked="0"/>
    </xf>
    <xf numFmtId="0" fontId="13" fillId="33" borderId="24" xfId="0" applyFont="1" applyFill="1" applyBorder="1" applyAlignment="1" applyProtection="1">
      <alignment horizontal="center"/>
      <protection hidden="1"/>
    </xf>
    <xf numFmtId="0" fontId="0" fillId="33" borderId="0" xfId="0" applyFont="1" applyFill="1" applyBorder="1" applyAlignment="1" applyProtection="1">
      <alignment/>
      <protection hidden="1"/>
    </xf>
    <xf numFmtId="0" fontId="0" fillId="33" borderId="0" xfId="0" applyFill="1" applyBorder="1" applyAlignment="1" applyProtection="1">
      <alignment/>
      <protection hidden="1"/>
    </xf>
    <xf numFmtId="2" fontId="3" fillId="33" borderId="0" xfId="0" applyNumberFormat="1" applyFont="1" applyFill="1" applyBorder="1" applyAlignment="1" applyProtection="1">
      <alignment horizontal="center"/>
      <protection hidden="1"/>
    </xf>
    <xf numFmtId="0" fontId="0" fillId="33" borderId="0" xfId="0" applyFill="1" applyBorder="1" applyAlignment="1" applyProtection="1">
      <alignment horizontal="left"/>
      <protection hidden="1"/>
    </xf>
    <xf numFmtId="0" fontId="0" fillId="33" borderId="0" xfId="0" applyFill="1" applyBorder="1" applyAlignment="1" applyProtection="1">
      <alignment horizontal="right"/>
      <protection hidden="1"/>
    </xf>
    <xf numFmtId="0" fontId="0" fillId="33" borderId="0" xfId="0" applyFill="1" applyBorder="1" applyAlignment="1" applyProtection="1">
      <alignment/>
      <protection hidden="1"/>
    </xf>
    <xf numFmtId="166" fontId="3" fillId="33" borderId="0" xfId="0" applyNumberFormat="1" applyFont="1" applyFill="1" applyBorder="1" applyAlignment="1" applyProtection="1">
      <alignment horizontal="center"/>
      <protection hidden="1"/>
    </xf>
    <xf numFmtId="0" fontId="0" fillId="33" borderId="0" xfId="0" applyFill="1" applyBorder="1" applyAlignment="1" applyProtection="1">
      <alignment horizontal="center"/>
      <protection hidden="1"/>
    </xf>
    <xf numFmtId="0" fontId="11" fillId="34" borderId="25" xfId="0" applyFont="1" applyFill="1" applyBorder="1" applyAlignment="1" applyProtection="1">
      <alignment horizontal="centerContinuous"/>
      <protection hidden="1"/>
    </xf>
    <xf numFmtId="0" fontId="0" fillId="34" borderId="26" xfId="0" applyFill="1" applyBorder="1" applyAlignment="1" applyProtection="1">
      <alignment horizontal="centerContinuous"/>
      <protection hidden="1"/>
    </xf>
    <xf numFmtId="0" fontId="9" fillId="34" borderId="26" xfId="0" applyFont="1" applyFill="1" applyBorder="1" applyAlignment="1" applyProtection="1">
      <alignment horizontal="centerContinuous"/>
      <protection hidden="1"/>
    </xf>
    <xf numFmtId="0" fontId="12" fillId="34" borderId="27" xfId="0" applyFont="1" applyFill="1" applyBorder="1" applyAlignment="1" applyProtection="1">
      <alignment horizontal="centerContinuous"/>
      <protection hidden="1"/>
    </xf>
    <xf numFmtId="0" fontId="9" fillId="34" borderId="0" xfId="0" applyFont="1" applyFill="1" applyBorder="1" applyAlignment="1" applyProtection="1">
      <alignment horizontal="centerContinuous"/>
      <protection hidden="1"/>
    </xf>
    <xf numFmtId="0" fontId="12" fillId="34" borderId="0" xfId="0" applyFont="1" applyFill="1" applyBorder="1" applyAlignment="1" applyProtection="1">
      <alignment horizontal="centerContinuous"/>
      <protection hidden="1"/>
    </xf>
    <xf numFmtId="0" fontId="0" fillId="34" borderId="0" xfId="0" applyFill="1" applyBorder="1" applyAlignment="1" applyProtection="1">
      <alignment horizontal="centerContinuous"/>
      <protection hidden="1"/>
    </xf>
    <xf numFmtId="0" fontId="12" fillId="34" borderId="22" xfId="0" applyFont="1" applyFill="1" applyBorder="1" applyAlignment="1" applyProtection="1">
      <alignment horizontal="centerContinuous"/>
      <protection hidden="1"/>
    </xf>
    <xf numFmtId="0" fontId="9" fillId="34" borderId="23" xfId="0" applyFont="1" applyFill="1" applyBorder="1" applyAlignment="1" applyProtection="1">
      <alignment horizontal="centerContinuous"/>
      <protection hidden="1"/>
    </xf>
    <xf numFmtId="0" fontId="0" fillId="34" borderId="23" xfId="0" applyFill="1" applyBorder="1" applyAlignment="1" applyProtection="1">
      <alignment horizontal="centerContinuous"/>
      <protection hidden="1"/>
    </xf>
    <xf numFmtId="0" fontId="0" fillId="34" borderId="28" xfId="0" applyFont="1" applyFill="1" applyBorder="1" applyAlignment="1" applyProtection="1">
      <alignment horizontal="centerContinuous"/>
      <protection hidden="1"/>
    </xf>
    <xf numFmtId="0" fontId="0" fillId="33" borderId="0" xfId="0" applyFont="1" applyFill="1" applyAlignment="1" applyProtection="1">
      <alignment/>
      <protection hidden="1"/>
    </xf>
    <xf numFmtId="0" fontId="3" fillId="33" borderId="0" xfId="0" applyFont="1" applyFill="1" applyAlignment="1" applyProtection="1">
      <alignment horizontal="center"/>
      <protection hidden="1"/>
    </xf>
    <xf numFmtId="0" fontId="3" fillId="33" borderId="0" xfId="0" applyFont="1" applyFill="1" applyBorder="1" applyAlignment="1" applyProtection="1">
      <alignment/>
      <protection hidden="1"/>
    </xf>
    <xf numFmtId="0" fontId="0" fillId="34" borderId="29" xfId="0" applyFont="1" applyFill="1" applyBorder="1" applyAlignment="1" applyProtection="1">
      <alignment horizontal="centerContinuous"/>
      <protection hidden="1"/>
    </xf>
    <xf numFmtId="0" fontId="0" fillId="34" borderId="30" xfId="0" applyFont="1" applyFill="1" applyBorder="1" applyAlignment="1" applyProtection="1">
      <alignment horizontal="centerContinuous"/>
      <protection hidden="1"/>
    </xf>
    <xf numFmtId="0" fontId="3" fillId="33" borderId="0" xfId="0" applyFont="1" applyFill="1" applyAlignment="1" applyProtection="1">
      <alignment horizontal="centerContinuous"/>
      <protection hidden="1"/>
    </xf>
    <xf numFmtId="0" fontId="0" fillId="33" borderId="0" xfId="0" applyFont="1" applyFill="1" applyAlignment="1" applyProtection="1">
      <alignment horizontal="centerContinuous"/>
      <protection hidden="1"/>
    </xf>
    <xf numFmtId="0" fontId="0" fillId="33" borderId="0" xfId="0" applyFont="1" applyFill="1" applyBorder="1" applyAlignment="1" applyProtection="1">
      <alignment horizontal="centerContinuous"/>
      <protection hidden="1"/>
    </xf>
    <xf numFmtId="0" fontId="3" fillId="33" borderId="0" xfId="0" applyFont="1" applyFill="1" applyBorder="1" applyAlignment="1" applyProtection="1">
      <alignment horizontal="center"/>
      <protection hidden="1"/>
    </xf>
    <xf numFmtId="0" fontId="3" fillId="33" borderId="0" xfId="0" applyFont="1" applyFill="1" applyBorder="1" applyAlignment="1" applyProtection="1">
      <alignment horizontal="center"/>
      <protection hidden="1"/>
    </xf>
    <xf numFmtId="0" fontId="3" fillId="33" borderId="0" xfId="0" applyFont="1" applyFill="1" applyAlignment="1" applyProtection="1">
      <alignment horizontal="center"/>
      <protection hidden="1"/>
    </xf>
    <xf numFmtId="166" fontId="3" fillId="33" borderId="0" xfId="0" applyNumberFormat="1" applyFont="1" applyFill="1" applyBorder="1" applyAlignment="1" applyProtection="1">
      <alignment horizontal="center"/>
      <protection hidden="1"/>
    </xf>
    <xf numFmtId="2" fontId="3" fillId="33" borderId="0" xfId="0" applyNumberFormat="1" applyFont="1" applyFill="1" applyBorder="1" applyAlignment="1" applyProtection="1">
      <alignment horizontal="center"/>
      <protection hidden="1"/>
    </xf>
    <xf numFmtId="2" fontId="3" fillId="33" borderId="0" xfId="0" applyNumberFormat="1" applyFont="1" applyFill="1" applyAlignment="1" applyProtection="1">
      <alignment horizontal="center"/>
      <protection hidden="1"/>
    </xf>
    <xf numFmtId="0" fontId="0" fillId="33" borderId="29" xfId="0" applyFont="1" applyFill="1" applyBorder="1" applyAlignment="1" applyProtection="1">
      <alignment/>
      <protection hidden="1"/>
    </xf>
    <xf numFmtId="0" fontId="3" fillId="33" borderId="0" xfId="0" applyFont="1" applyFill="1" applyAlignment="1" applyProtection="1">
      <alignment/>
      <protection hidden="1"/>
    </xf>
    <xf numFmtId="0" fontId="3" fillId="33" borderId="0" xfId="0" applyFont="1" applyFill="1" applyAlignment="1" applyProtection="1">
      <alignment/>
      <protection hidden="1"/>
    </xf>
    <xf numFmtId="2" fontId="3" fillId="33" borderId="0" xfId="0" applyNumberFormat="1" applyFont="1" applyFill="1" applyAlignment="1" applyProtection="1">
      <alignment horizontal="center"/>
      <protection hidden="1"/>
    </xf>
    <xf numFmtId="0" fontId="0" fillId="33" borderId="0" xfId="0" applyFont="1" applyFill="1" applyBorder="1" applyAlignment="1" applyProtection="1">
      <alignment/>
      <protection hidden="1"/>
    </xf>
    <xf numFmtId="0" fontId="0" fillId="33" borderId="0" xfId="0" applyFont="1" applyFill="1" applyBorder="1" applyAlignment="1" applyProtection="1">
      <alignment/>
      <protection hidden="1"/>
    </xf>
    <xf numFmtId="0" fontId="2" fillId="33" borderId="27" xfId="0" applyFont="1" applyFill="1" applyBorder="1" applyAlignment="1" applyProtection="1">
      <alignment/>
      <protection hidden="1"/>
    </xf>
    <xf numFmtId="0" fontId="0" fillId="33" borderId="27" xfId="0" applyFill="1" applyBorder="1" applyAlignment="1" applyProtection="1">
      <alignment/>
      <protection hidden="1"/>
    </xf>
    <xf numFmtId="0" fontId="9" fillId="33" borderId="27" xfId="0" applyFont="1" applyFill="1" applyBorder="1" applyAlignment="1" applyProtection="1">
      <alignment/>
      <protection hidden="1"/>
    </xf>
    <xf numFmtId="0" fontId="0" fillId="33" borderId="27" xfId="0" applyFill="1" applyBorder="1" applyAlignment="1" applyProtection="1">
      <alignment horizontal="right"/>
      <protection hidden="1"/>
    </xf>
    <xf numFmtId="0" fontId="1" fillId="33" borderId="27" xfId="0" applyFont="1" applyFill="1" applyBorder="1" applyAlignment="1" applyProtection="1">
      <alignment horizontal="right"/>
      <protection hidden="1"/>
    </xf>
    <xf numFmtId="0" fontId="3" fillId="33" borderId="0" xfId="0" applyFont="1" applyFill="1" applyBorder="1" applyAlignment="1" applyProtection="1">
      <alignment/>
      <protection locked="0"/>
    </xf>
    <xf numFmtId="14" fontId="3" fillId="33" borderId="26" xfId="0" applyNumberFormat="1" applyFont="1" applyFill="1" applyBorder="1" applyAlignment="1" applyProtection="1">
      <alignment/>
      <protection locked="0"/>
    </xf>
    <xf numFmtId="0" fontId="3" fillId="33" borderId="29" xfId="0" applyFont="1" applyFill="1" applyBorder="1" applyAlignment="1" applyProtection="1">
      <alignment/>
      <protection locked="0"/>
    </xf>
    <xf numFmtId="0" fontId="9" fillId="33" borderId="27" xfId="0" applyFont="1" applyFill="1" applyBorder="1" applyAlignment="1" applyProtection="1">
      <alignment horizontal="left"/>
      <protection hidden="1"/>
    </xf>
    <xf numFmtId="0" fontId="0" fillId="33" borderId="23" xfId="0" applyFill="1" applyBorder="1" applyAlignment="1" applyProtection="1">
      <alignment/>
      <protection hidden="1"/>
    </xf>
    <xf numFmtId="0" fontId="3" fillId="33" borderId="0" xfId="0" applyFont="1" applyFill="1" applyBorder="1" applyAlignment="1" applyProtection="1">
      <alignment/>
      <protection locked="0"/>
    </xf>
    <xf numFmtId="0" fontId="3" fillId="33" borderId="0" xfId="0" applyFont="1" applyFill="1" applyBorder="1" applyAlignment="1" applyProtection="1">
      <alignment horizontal="center"/>
      <protection locked="0"/>
    </xf>
    <xf numFmtId="0" fontId="3" fillId="33" borderId="0" xfId="0" applyFont="1" applyFill="1" applyBorder="1" applyAlignment="1" applyProtection="1">
      <alignment horizontal="right"/>
      <protection locked="0"/>
    </xf>
    <xf numFmtId="0" fontId="14" fillId="33" borderId="0" xfId="0" applyFont="1" applyFill="1" applyBorder="1" applyAlignment="1" applyProtection="1">
      <alignment horizontal="right"/>
      <protection hidden="1"/>
    </xf>
    <xf numFmtId="0" fontId="14" fillId="33" borderId="0" xfId="0" applyFont="1" applyFill="1" applyBorder="1" applyAlignment="1" applyProtection="1">
      <alignment horizontal="left"/>
      <protection hidden="1"/>
    </xf>
    <xf numFmtId="0" fontId="1" fillId="33" borderId="0" xfId="0" applyFont="1" applyFill="1" applyBorder="1" applyAlignment="1" applyProtection="1">
      <alignment horizontal="left"/>
      <protection hidden="1"/>
    </xf>
    <xf numFmtId="0" fontId="0" fillId="33" borderId="22" xfId="0" applyFill="1" applyBorder="1" applyAlignment="1" applyProtection="1">
      <alignment/>
      <protection hidden="1"/>
    </xf>
    <xf numFmtId="0" fontId="0" fillId="33" borderId="25" xfId="0" applyFill="1" applyBorder="1" applyAlignment="1" applyProtection="1">
      <alignment/>
      <protection hidden="1"/>
    </xf>
    <xf numFmtId="0" fontId="0" fillId="33" borderId="26" xfId="0" applyFill="1" applyBorder="1" applyAlignment="1" applyProtection="1">
      <alignment/>
      <protection hidden="1"/>
    </xf>
    <xf numFmtId="0" fontId="0" fillId="33" borderId="28" xfId="0" applyFont="1" applyFill="1" applyBorder="1" applyAlignment="1" applyProtection="1">
      <alignment/>
      <protection hidden="1"/>
    </xf>
    <xf numFmtId="0" fontId="14" fillId="33" borderId="30" xfId="0" applyFont="1" applyFill="1" applyBorder="1" applyAlignment="1" applyProtection="1">
      <alignment horizontal="right"/>
      <protection hidden="1"/>
    </xf>
    <xf numFmtId="0" fontId="13" fillId="33" borderId="25" xfId="0" applyFont="1" applyFill="1" applyBorder="1" applyAlignment="1" applyProtection="1">
      <alignment/>
      <protection hidden="1"/>
    </xf>
    <xf numFmtId="0" fontId="14" fillId="33" borderId="0" xfId="0" applyFont="1" applyFill="1" applyBorder="1" applyAlignment="1" applyProtection="1">
      <alignment/>
      <protection hidden="1"/>
    </xf>
    <xf numFmtId="167" fontId="3" fillId="33" borderId="17" xfId="0" applyNumberFormat="1" applyFont="1" applyFill="1" applyBorder="1" applyAlignment="1" applyProtection="1">
      <alignment horizontal="center"/>
      <protection hidden="1"/>
    </xf>
    <xf numFmtId="0" fontId="10" fillId="33" borderId="0" xfId="0" applyFont="1" applyFill="1" applyBorder="1" applyAlignment="1" applyProtection="1">
      <alignment horizontal="center"/>
      <protection hidden="1"/>
    </xf>
    <xf numFmtId="0" fontId="13" fillId="33" borderId="0" xfId="0" applyFont="1" applyFill="1" applyAlignment="1" applyProtection="1">
      <alignment horizontal="right"/>
      <protection hidden="1"/>
    </xf>
    <xf numFmtId="0" fontId="8" fillId="33" borderId="0" xfId="0" applyFont="1" applyFill="1" applyBorder="1" applyAlignment="1" applyProtection="1">
      <alignment/>
      <protection hidden="1"/>
    </xf>
    <xf numFmtId="166" fontId="13" fillId="33" borderId="0" xfId="0" applyNumberFormat="1" applyFont="1" applyFill="1" applyAlignment="1" applyProtection="1">
      <alignment/>
      <protection hidden="1"/>
    </xf>
    <xf numFmtId="0" fontId="13" fillId="33" borderId="0" xfId="0" applyFont="1" applyFill="1" applyAlignment="1" applyProtection="1">
      <alignment/>
      <protection hidden="1"/>
    </xf>
    <xf numFmtId="0" fontId="3" fillId="33" borderId="0" xfId="0" applyFont="1" applyFill="1" applyBorder="1" applyAlignment="1" applyProtection="1">
      <alignment/>
      <protection hidden="1"/>
    </xf>
    <xf numFmtId="0" fontId="3" fillId="33" borderId="0" xfId="0" applyFont="1" applyFill="1" applyAlignment="1" applyProtection="1">
      <alignment/>
      <protection hidden="1"/>
    </xf>
    <xf numFmtId="0" fontId="3" fillId="33" borderId="0" xfId="0" applyFont="1" applyFill="1" applyAlignment="1" applyProtection="1">
      <alignment horizontal="right"/>
      <protection hidden="1"/>
    </xf>
    <xf numFmtId="0" fontId="8" fillId="33" borderId="0" xfId="0" applyFont="1" applyFill="1" applyAlignment="1" applyProtection="1">
      <alignment horizontal="left"/>
      <protection hidden="1"/>
    </xf>
    <xf numFmtId="0" fontId="3" fillId="33" borderId="0" xfId="0" applyFont="1" applyFill="1" applyAlignment="1" applyProtection="1">
      <alignment horizontal="right"/>
      <protection hidden="1"/>
    </xf>
    <xf numFmtId="2" fontId="3" fillId="33" borderId="0" xfId="0" applyNumberFormat="1" applyFont="1" applyFill="1" applyAlignment="1" applyProtection="1">
      <alignment horizontal="left"/>
      <protection hidden="1"/>
    </xf>
    <xf numFmtId="0" fontId="13" fillId="33" borderId="27" xfId="0" applyFont="1" applyFill="1" applyBorder="1" applyAlignment="1" applyProtection="1">
      <alignment horizontal="right"/>
      <protection hidden="1"/>
    </xf>
    <xf numFmtId="0" fontId="13" fillId="33" borderId="0" xfId="0" applyFont="1" applyFill="1" applyBorder="1" applyAlignment="1" applyProtection="1">
      <alignment horizontal="right"/>
      <protection hidden="1"/>
    </xf>
    <xf numFmtId="2" fontId="3" fillId="33" borderId="0" xfId="0" applyNumberFormat="1" applyFont="1" applyFill="1" applyAlignment="1" applyProtection="1">
      <alignment horizontal="left"/>
      <protection hidden="1"/>
    </xf>
    <xf numFmtId="0" fontId="13" fillId="33" borderId="0" xfId="0" applyFont="1" applyFill="1" applyBorder="1" applyAlignment="1" applyProtection="1">
      <alignment/>
      <protection hidden="1"/>
    </xf>
    <xf numFmtId="165" fontId="3" fillId="33" borderId="0" xfId="0" applyNumberFormat="1" applyFont="1" applyFill="1" applyAlignment="1" applyProtection="1">
      <alignment horizontal="right"/>
      <protection hidden="1"/>
    </xf>
    <xf numFmtId="166" fontId="3" fillId="33" borderId="0" xfId="0" applyNumberFormat="1" applyFont="1" applyFill="1" applyAlignment="1" applyProtection="1">
      <alignment/>
      <protection hidden="1"/>
    </xf>
    <xf numFmtId="0" fontId="3" fillId="33" borderId="0" xfId="0" applyFont="1" applyFill="1" applyAlignment="1" applyProtection="1">
      <alignment/>
      <protection hidden="1"/>
    </xf>
    <xf numFmtId="0" fontId="3" fillId="33" borderId="10" xfId="0" applyFont="1" applyFill="1" applyBorder="1" applyAlignment="1" applyProtection="1">
      <alignment horizontal="center"/>
      <protection hidden="1"/>
    </xf>
    <xf numFmtId="0" fontId="3" fillId="33" borderId="24" xfId="0" applyFont="1" applyFill="1" applyBorder="1" applyAlignment="1" applyProtection="1">
      <alignment horizontal="centerContinuous"/>
      <protection hidden="1"/>
    </xf>
    <xf numFmtId="0" fontId="10" fillId="33" borderId="31" xfId="0" applyFont="1" applyFill="1" applyBorder="1" applyAlignment="1" applyProtection="1">
      <alignment horizontal="center"/>
      <protection hidden="1"/>
    </xf>
    <xf numFmtId="0" fontId="10" fillId="33" borderId="32" xfId="0" applyFont="1" applyFill="1" applyBorder="1" applyAlignment="1" applyProtection="1">
      <alignment horizontal="center"/>
      <protection hidden="1"/>
    </xf>
    <xf numFmtId="0" fontId="10" fillId="33" borderId="33" xfId="0" applyFont="1" applyFill="1" applyBorder="1" applyAlignment="1" applyProtection="1">
      <alignment horizontal="center"/>
      <protection hidden="1"/>
    </xf>
    <xf numFmtId="0" fontId="10" fillId="33" borderId="0" xfId="0" applyNumberFormat="1" applyFont="1" applyFill="1" applyBorder="1" applyAlignment="1" applyProtection="1">
      <alignment horizontal="center"/>
      <protection hidden="1"/>
    </xf>
    <xf numFmtId="166" fontId="10" fillId="33" borderId="0" xfId="0" applyNumberFormat="1" applyFont="1" applyFill="1" applyBorder="1" applyAlignment="1" applyProtection="1">
      <alignment horizontal="center"/>
      <protection hidden="1"/>
    </xf>
    <xf numFmtId="2" fontId="10" fillId="33" borderId="0" xfId="0" applyNumberFormat="1" applyFont="1" applyFill="1" applyBorder="1" applyAlignment="1" applyProtection="1">
      <alignment horizontal="center"/>
      <protection hidden="1"/>
    </xf>
    <xf numFmtId="0" fontId="10" fillId="33" borderId="23" xfId="0" applyFont="1" applyFill="1" applyBorder="1" applyAlignment="1" applyProtection="1">
      <alignment horizontal="center"/>
      <protection hidden="1"/>
    </xf>
    <xf numFmtId="0" fontId="10" fillId="33" borderId="23" xfId="0" applyNumberFormat="1" applyFont="1" applyFill="1" applyBorder="1" applyAlignment="1" applyProtection="1">
      <alignment horizontal="center"/>
      <protection hidden="1"/>
    </xf>
    <xf numFmtId="0" fontId="3" fillId="33" borderId="23" xfId="0" applyFont="1" applyFill="1" applyBorder="1" applyAlignment="1" applyProtection="1">
      <alignment horizontal="center"/>
      <protection hidden="1"/>
    </xf>
    <xf numFmtId="166" fontId="3" fillId="33" borderId="34" xfId="0" applyNumberFormat="1" applyFont="1" applyFill="1" applyBorder="1" applyAlignment="1" applyProtection="1">
      <alignment horizontal="center"/>
      <protection hidden="1"/>
    </xf>
    <xf numFmtId="0" fontId="3" fillId="33" borderId="0" xfId="0" applyFont="1" applyFill="1" applyBorder="1" applyAlignment="1" applyProtection="1">
      <alignment horizontal="right"/>
      <protection hidden="1"/>
    </xf>
    <xf numFmtId="0" fontId="3" fillId="33" borderId="0" xfId="0" applyFont="1" applyFill="1" applyBorder="1" applyAlignment="1" applyProtection="1">
      <alignment horizontal="left"/>
      <protection hidden="1"/>
    </xf>
    <xf numFmtId="0" fontId="15" fillId="33" borderId="0" xfId="0" applyFont="1" applyFill="1" applyBorder="1" applyAlignment="1" applyProtection="1">
      <alignment horizontal="right"/>
      <protection hidden="1"/>
    </xf>
    <xf numFmtId="0" fontId="15" fillId="33" borderId="0" xfId="0" applyFont="1" applyFill="1" applyBorder="1" applyAlignment="1" applyProtection="1">
      <alignment horizontal="left"/>
      <protection hidden="1"/>
    </xf>
    <xf numFmtId="0" fontId="3" fillId="33" borderId="0" xfId="0" applyFont="1" applyFill="1" applyBorder="1" applyAlignment="1" applyProtection="1">
      <alignment/>
      <protection hidden="1"/>
    </xf>
    <xf numFmtId="2" fontId="13" fillId="33" borderId="0" xfId="0" applyNumberFormat="1" applyFont="1" applyFill="1" applyBorder="1" applyAlignment="1" applyProtection="1">
      <alignment/>
      <protection hidden="1"/>
    </xf>
    <xf numFmtId="165" fontId="3" fillId="33" borderId="0" xfId="0" applyNumberFormat="1" applyFont="1" applyFill="1" applyAlignment="1" applyProtection="1">
      <alignment horizontal="center"/>
      <protection hidden="1"/>
    </xf>
    <xf numFmtId="0" fontId="8" fillId="33" borderId="0" xfId="0" applyFont="1" applyFill="1" applyAlignment="1" applyProtection="1">
      <alignment/>
      <protection hidden="1"/>
    </xf>
    <xf numFmtId="0" fontId="15" fillId="33" borderId="0" xfId="0" applyFont="1" applyFill="1" applyAlignment="1" applyProtection="1">
      <alignment horizontal="right"/>
      <protection hidden="1"/>
    </xf>
    <xf numFmtId="0" fontId="15" fillId="33" borderId="0" xfId="0" applyFont="1" applyFill="1" applyAlignment="1" applyProtection="1">
      <alignment horizontal="left"/>
      <protection hidden="1"/>
    </xf>
    <xf numFmtId="0" fontId="16" fillId="33" borderId="27" xfId="0" applyFont="1" applyFill="1" applyBorder="1" applyAlignment="1" applyProtection="1">
      <alignment horizontal="right"/>
      <protection hidden="1"/>
    </xf>
    <xf numFmtId="0" fontId="16" fillId="33" borderId="0" xfId="0" applyFont="1" applyFill="1" applyBorder="1" applyAlignment="1" applyProtection="1">
      <alignment horizontal="left"/>
      <protection hidden="1"/>
    </xf>
    <xf numFmtId="0" fontId="14" fillId="33" borderId="29" xfId="0" applyFont="1" applyFill="1" applyBorder="1" applyAlignment="1" applyProtection="1">
      <alignment horizontal="left"/>
      <protection hidden="1"/>
    </xf>
    <xf numFmtId="0" fontId="2" fillId="33" borderId="0" xfId="0" applyFont="1" applyFill="1" applyBorder="1" applyAlignment="1" applyProtection="1">
      <alignment horizontal="centerContinuous"/>
      <protection hidden="1"/>
    </xf>
    <xf numFmtId="0" fontId="3" fillId="33" borderId="29" xfId="0" applyFont="1" applyFill="1" applyBorder="1" applyAlignment="1" applyProtection="1">
      <alignment/>
      <protection hidden="1"/>
    </xf>
    <xf numFmtId="0" fontId="3" fillId="33" borderId="9" xfId="0" applyFont="1" applyFill="1" applyBorder="1" applyAlignment="1" applyProtection="1">
      <alignment horizontal="centerContinuous"/>
      <protection hidden="1"/>
    </xf>
    <xf numFmtId="0" fontId="0" fillId="33" borderId="9" xfId="0" applyFill="1" applyBorder="1" applyAlignment="1" applyProtection="1">
      <alignment horizontal="centerContinuous"/>
      <protection hidden="1"/>
    </xf>
    <xf numFmtId="0" fontId="8" fillId="33" borderId="0" xfId="0" applyFont="1" applyFill="1" applyAlignment="1" applyProtection="1">
      <alignment/>
      <protection hidden="1"/>
    </xf>
    <xf numFmtId="0" fontId="0" fillId="33" borderId="0" xfId="0" applyFont="1" applyFill="1" applyAlignment="1" applyProtection="1">
      <alignment/>
      <protection hidden="1"/>
    </xf>
    <xf numFmtId="0" fontId="3" fillId="33" borderId="0" xfId="0" applyFont="1" applyFill="1" applyBorder="1" applyAlignment="1" applyProtection="1">
      <alignment horizontal="left"/>
      <protection hidden="1"/>
    </xf>
    <xf numFmtId="0" fontId="3" fillId="33" borderId="0" xfId="0" applyFont="1" applyFill="1" applyAlignment="1" applyProtection="1">
      <alignment horizontal="left"/>
      <protection hidden="1"/>
    </xf>
    <xf numFmtId="0" fontId="13" fillId="33" borderId="0" xfId="0" applyFont="1" applyFill="1" applyBorder="1" applyAlignment="1" applyProtection="1">
      <alignment/>
      <protection hidden="1"/>
    </xf>
    <xf numFmtId="0" fontId="17" fillId="33" borderId="27" xfId="0" applyFont="1" applyFill="1" applyBorder="1" applyAlignment="1" applyProtection="1">
      <alignment/>
      <protection hidden="1"/>
    </xf>
    <xf numFmtId="0" fontId="13" fillId="33" borderId="27" xfId="0" applyFont="1" applyFill="1" applyBorder="1" applyAlignment="1" applyProtection="1">
      <alignment horizontal="right"/>
      <protection hidden="1"/>
    </xf>
    <xf numFmtId="0" fontId="12" fillId="33" borderId="0" xfId="0" applyFont="1" applyFill="1" applyBorder="1" applyAlignment="1" applyProtection="1">
      <alignment/>
      <protection hidden="1"/>
    </xf>
    <xf numFmtId="2" fontId="13" fillId="33" borderId="0" xfId="0" applyNumberFormat="1" applyFont="1" applyFill="1" applyAlignment="1" applyProtection="1">
      <alignment horizontal="right"/>
      <protection hidden="1"/>
    </xf>
    <xf numFmtId="0" fontId="18" fillId="33" borderId="0" xfId="0" applyFont="1" applyFill="1" applyAlignment="1" applyProtection="1">
      <alignment/>
      <protection hidden="1"/>
    </xf>
    <xf numFmtId="0" fontId="19" fillId="33" borderId="0" xfId="0" applyFont="1" applyFill="1" applyBorder="1" applyAlignment="1" applyProtection="1">
      <alignment/>
      <protection hidden="1"/>
    </xf>
    <xf numFmtId="166" fontId="3" fillId="33" borderId="10" xfId="0" applyNumberFormat="1" applyFont="1" applyFill="1" applyBorder="1" applyAlignment="1" applyProtection="1">
      <alignment horizontal="center"/>
      <protection hidden="1"/>
    </xf>
    <xf numFmtId="0" fontId="13" fillId="33" borderId="0" xfId="0" applyFont="1" applyFill="1" applyBorder="1" applyAlignment="1" applyProtection="1">
      <alignment horizontal="center"/>
      <protection hidden="1"/>
    </xf>
    <xf numFmtId="0" fontId="13" fillId="33" borderId="22" xfId="0" applyFont="1" applyFill="1" applyBorder="1" applyAlignment="1" applyProtection="1">
      <alignment/>
      <protection hidden="1"/>
    </xf>
    <xf numFmtId="0" fontId="13" fillId="33" borderId="23" xfId="0" applyFont="1" applyFill="1" applyBorder="1" applyAlignment="1" applyProtection="1">
      <alignment/>
      <protection hidden="1"/>
    </xf>
    <xf numFmtId="0" fontId="13" fillId="33" borderId="30" xfId="0" applyFont="1" applyFill="1" applyBorder="1" applyAlignment="1" applyProtection="1">
      <alignment/>
      <protection hidden="1"/>
    </xf>
    <xf numFmtId="0" fontId="0" fillId="33" borderId="0" xfId="0" applyFont="1" applyFill="1" applyAlignment="1" applyProtection="1">
      <alignment/>
      <protection hidden="1"/>
    </xf>
    <xf numFmtId="0" fontId="0" fillId="33" borderId="0" xfId="0" applyFont="1" applyFill="1" applyAlignment="1" applyProtection="1">
      <alignment/>
      <protection hidden="1"/>
    </xf>
    <xf numFmtId="0" fontId="8" fillId="33" borderId="0" xfId="0" applyFont="1" applyFill="1" applyAlignment="1" applyProtection="1">
      <alignment horizontal="left"/>
      <protection hidden="1"/>
    </xf>
    <xf numFmtId="0" fontId="20" fillId="33" borderId="0" xfId="0" applyFont="1" applyFill="1" applyBorder="1" applyAlignment="1" applyProtection="1">
      <alignment horizontal="left"/>
      <protection hidden="1"/>
    </xf>
    <xf numFmtId="0" fontId="20" fillId="33" borderId="0" xfId="0" applyFont="1" applyFill="1" applyBorder="1" applyAlignment="1" applyProtection="1">
      <alignment/>
      <protection hidden="1"/>
    </xf>
    <xf numFmtId="0" fontId="3" fillId="33" borderId="12" xfId="0" applyFont="1" applyFill="1" applyBorder="1" applyAlignment="1" applyProtection="1">
      <alignment horizontal="center"/>
      <protection hidden="1"/>
    </xf>
    <xf numFmtId="0" fontId="17" fillId="33" borderId="27" xfId="0" applyFont="1" applyFill="1" applyBorder="1" applyAlignment="1" applyProtection="1">
      <alignment horizontal="left"/>
      <protection hidden="1"/>
    </xf>
    <xf numFmtId="0" fontId="21" fillId="33" borderId="27" xfId="0" applyFont="1" applyFill="1" applyBorder="1" applyAlignment="1" applyProtection="1">
      <alignment horizontal="left"/>
      <protection hidden="1"/>
    </xf>
    <xf numFmtId="0" fontId="13" fillId="33" borderId="29" xfId="0" applyFont="1" applyFill="1" applyBorder="1" applyAlignment="1" applyProtection="1">
      <alignment/>
      <protection hidden="1"/>
    </xf>
    <xf numFmtId="0" fontId="13" fillId="33" borderId="29" xfId="0" applyFont="1" applyFill="1" applyBorder="1" applyAlignment="1" applyProtection="1">
      <alignment/>
      <protection hidden="1"/>
    </xf>
    <xf numFmtId="0" fontId="3" fillId="33" borderId="0" xfId="0" applyFont="1" applyFill="1" applyBorder="1" applyAlignment="1" applyProtection="1">
      <alignment horizontal="centerContinuous"/>
      <protection hidden="1"/>
    </xf>
    <xf numFmtId="2" fontId="13" fillId="33" borderId="0" xfId="0" applyNumberFormat="1" applyFont="1" applyFill="1" applyBorder="1" applyAlignment="1" applyProtection="1">
      <alignment/>
      <protection hidden="1"/>
    </xf>
    <xf numFmtId="2" fontId="13" fillId="33" borderId="29" xfId="0" applyNumberFormat="1" applyFont="1" applyFill="1" applyBorder="1" applyAlignment="1" applyProtection="1">
      <alignment/>
      <protection hidden="1"/>
    </xf>
    <xf numFmtId="0" fontId="19" fillId="33" borderId="0" xfId="0" applyFont="1" applyFill="1" applyBorder="1" applyAlignment="1" applyProtection="1">
      <alignment/>
      <protection hidden="1"/>
    </xf>
    <xf numFmtId="166" fontId="19" fillId="33" borderId="0" xfId="0" applyNumberFormat="1" applyFont="1" applyFill="1" applyBorder="1" applyAlignment="1" applyProtection="1">
      <alignment vertical="top"/>
      <protection hidden="1"/>
    </xf>
    <xf numFmtId="0" fontId="14" fillId="33" borderId="0" xfId="0" applyFont="1" applyFill="1" applyBorder="1" applyAlignment="1" applyProtection="1">
      <alignment horizontal="left"/>
      <protection hidden="1"/>
    </xf>
    <xf numFmtId="0" fontId="14" fillId="33" borderId="0" xfId="0" applyFont="1" applyFill="1" applyBorder="1" applyAlignment="1" applyProtection="1">
      <alignment/>
      <protection hidden="1"/>
    </xf>
    <xf numFmtId="0" fontId="0" fillId="33" borderId="0" xfId="0" applyFill="1" applyBorder="1" applyAlignment="1" applyProtection="1">
      <alignment horizontal="centerContinuous"/>
      <protection hidden="1"/>
    </xf>
    <xf numFmtId="0" fontId="9" fillId="33" borderId="0" xfId="0" applyFont="1" applyFill="1" applyBorder="1" applyAlignment="1" applyProtection="1">
      <alignment horizontal="centerContinuous"/>
      <protection hidden="1"/>
    </xf>
    <xf numFmtId="0" fontId="0" fillId="33" borderId="29" xfId="0" applyFont="1" applyFill="1" applyBorder="1" applyAlignment="1" applyProtection="1">
      <alignment horizontal="centerContinuous"/>
      <protection hidden="1"/>
    </xf>
    <xf numFmtId="0" fontId="19" fillId="33" borderId="0" xfId="0" applyFont="1" applyFill="1" applyBorder="1" applyAlignment="1" applyProtection="1">
      <alignment horizontal="center"/>
      <protection hidden="1"/>
    </xf>
    <xf numFmtId="165" fontId="3" fillId="33" borderId="17" xfId="0" applyNumberFormat="1" applyFont="1" applyFill="1" applyBorder="1" applyAlignment="1" applyProtection="1">
      <alignment horizontal="center"/>
      <protection hidden="1"/>
    </xf>
    <xf numFmtId="0" fontId="20" fillId="33" borderId="0" xfId="0" applyFont="1" applyFill="1" applyBorder="1" applyAlignment="1" applyProtection="1">
      <alignment/>
      <protection hidden="1"/>
    </xf>
    <xf numFmtId="174" fontId="18" fillId="33" borderId="0" xfId="0" applyNumberFormat="1" applyFont="1" applyFill="1" applyAlignment="1" applyProtection="1">
      <alignment horizontal="center"/>
      <protection hidden="1"/>
    </xf>
    <xf numFmtId="0" fontId="10" fillId="33" borderId="10" xfId="0" applyFont="1" applyFill="1" applyBorder="1" applyAlignment="1" applyProtection="1">
      <alignment horizontal="center"/>
      <protection hidden="1"/>
    </xf>
    <xf numFmtId="0" fontId="23" fillId="33" borderId="0" xfId="0" applyFont="1" applyFill="1" applyAlignment="1" applyProtection="1">
      <alignment/>
      <protection hidden="1"/>
    </xf>
    <xf numFmtId="0" fontId="13" fillId="33" borderId="0" xfId="0" applyFont="1" applyFill="1" applyBorder="1" applyAlignment="1" applyProtection="1">
      <alignment horizontal="center"/>
      <protection hidden="1"/>
    </xf>
    <xf numFmtId="0" fontId="18" fillId="33" borderId="0" xfId="0" applyFont="1" applyFill="1" applyAlignment="1" applyProtection="1">
      <alignment horizontal="center"/>
      <protection hidden="1"/>
    </xf>
    <xf numFmtId="0" fontId="22" fillId="33" borderId="0" xfId="0" applyFont="1" applyFill="1" applyAlignment="1" applyProtection="1">
      <alignment horizontal="center"/>
      <protection hidden="1"/>
    </xf>
    <xf numFmtId="0" fontId="23" fillId="33" borderId="0" xfId="0" applyFont="1" applyFill="1" applyBorder="1" applyAlignment="1" applyProtection="1">
      <alignment horizontal="left"/>
      <protection hidden="1"/>
    </xf>
    <xf numFmtId="166" fontId="22" fillId="33" borderId="0" xfId="0" applyNumberFormat="1" applyFont="1" applyFill="1" applyAlignment="1" applyProtection="1">
      <alignment horizontal="center"/>
      <protection hidden="1"/>
    </xf>
    <xf numFmtId="0" fontId="13" fillId="33" borderId="0" xfId="0" applyFont="1" applyFill="1" applyAlignment="1" applyProtection="1">
      <alignment horizontal="center"/>
      <protection hidden="1"/>
    </xf>
    <xf numFmtId="166" fontId="3" fillId="33" borderId="0" xfId="0" applyNumberFormat="1" applyFont="1" applyFill="1" applyBorder="1" applyAlignment="1" applyProtection="1">
      <alignment/>
      <protection hidden="1"/>
    </xf>
    <xf numFmtId="0" fontId="13" fillId="33" borderId="0" xfId="0" applyFont="1" applyFill="1" applyBorder="1" applyAlignment="1" applyProtection="1">
      <alignment/>
      <protection hidden="1"/>
    </xf>
    <xf numFmtId="0" fontId="13" fillId="33" borderId="29" xfId="0" applyFont="1" applyFill="1" applyBorder="1" applyAlignment="1" applyProtection="1">
      <alignment/>
      <protection hidden="1"/>
    </xf>
    <xf numFmtId="0" fontId="22" fillId="33" borderId="0" xfId="0" applyFont="1" applyFill="1" applyAlignment="1" applyProtection="1">
      <alignment horizontal="right"/>
      <protection hidden="1"/>
    </xf>
    <xf numFmtId="166" fontId="22" fillId="33" borderId="0" xfId="0" applyNumberFormat="1" applyFont="1" applyFill="1" applyAlignment="1" applyProtection="1">
      <alignment horizontal="left"/>
      <protection hidden="1"/>
    </xf>
    <xf numFmtId="0" fontId="12" fillId="33" borderId="29" xfId="0" applyFont="1" applyFill="1" applyBorder="1" applyAlignment="1" applyProtection="1">
      <alignment horizontal="right"/>
      <protection hidden="1"/>
    </xf>
    <xf numFmtId="0" fontId="18" fillId="33" borderId="0" xfId="0" applyFont="1" applyFill="1" applyBorder="1" applyAlignment="1" applyProtection="1">
      <alignment/>
      <protection hidden="1"/>
    </xf>
    <xf numFmtId="0" fontId="0" fillId="33" borderId="0" xfId="0" applyFill="1" applyAlignment="1" applyProtection="1">
      <alignment horizontal="center"/>
      <protection hidden="1"/>
    </xf>
    <xf numFmtId="0" fontId="13" fillId="33" borderId="0" xfId="0" applyFont="1" applyFill="1" applyAlignment="1" applyProtection="1">
      <alignment horizontal="center"/>
      <protection hidden="1"/>
    </xf>
    <xf numFmtId="0" fontId="18" fillId="33" borderId="0" xfId="0" applyFont="1" applyFill="1" applyBorder="1" applyAlignment="1" applyProtection="1">
      <alignment/>
      <protection hidden="1"/>
    </xf>
    <xf numFmtId="165" fontId="3" fillId="33" borderId="12" xfId="0" applyNumberFormat="1" applyFont="1" applyFill="1" applyBorder="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NumberFormat="1" applyFont="1" applyFill="1" applyBorder="1" applyAlignment="1" applyProtection="1">
      <alignment horizontal="center"/>
      <protection hidden="1"/>
    </xf>
    <xf numFmtId="0" fontId="10" fillId="0" borderId="23" xfId="0" applyFont="1" applyBorder="1" applyAlignment="1" applyProtection="1">
      <alignment horizontal="center"/>
      <protection hidden="1"/>
    </xf>
    <xf numFmtId="0" fontId="3" fillId="33" borderId="22" xfId="0" applyFont="1" applyFill="1" applyBorder="1" applyAlignment="1" applyProtection="1">
      <alignment/>
      <protection hidden="1"/>
    </xf>
    <xf numFmtId="0" fontId="3" fillId="33" borderId="23" xfId="0" applyFont="1" applyFill="1" applyBorder="1" applyAlignment="1" applyProtection="1">
      <alignment/>
      <protection hidden="1"/>
    </xf>
    <xf numFmtId="0" fontId="3" fillId="35" borderId="11" xfId="0" applyFont="1" applyFill="1" applyBorder="1" applyAlignment="1" applyProtection="1">
      <alignment horizontal="center"/>
      <protection locked="0"/>
    </xf>
    <xf numFmtId="165" fontId="3" fillId="35" borderId="12" xfId="0" applyNumberFormat="1" applyFont="1" applyFill="1" applyBorder="1" applyAlignment="1" applyProtection="1">
      <alignment horizontal="center"/>
      <protection locked="0"/>
    </xf>
    <xf numFmtId="2" fontId="3" fillId="35" borderId="12" xfId="0" applyNumberFormat="1" applyFont="1" applyFill="1" applyBorder="1" applyAlignment="1" applyProtection="1">
      <alignment horizontal="center"/>
      <protection locked="0"/>
    </xf>
    <xf numFmtId="166" fontId="3" fillId="35" borderId="12" xfId="0" applyNumberFormat="1" applyFont="1" applyFill="1" applyBorder="1" applyAlignment="1" applyProtection="1">
      <alignment horizontal="center"/>
      <protection locked="0"/>
    </xf>
    <xf numFmtId="166" fontId="3" fillId="35" borderId="34" xfId="0" applyNumberFormat="1" applyFont="1" applyFill="1" applyBorder="1" applyAlignment="1" applyProtection="1">
      <alignment horizontal="center"/>
      <protection locked="0"/>
    </xf>
    <xf numFmtId="0" fontId="3" fillId="35" borderId="12" xfId="0" applyFont="1" applyFill="1" applyBorder="1" applyAlignment="1" applyProtection="1">
      <alignment horizontal="center"/>
      <protection locked="0"/>
    </xf>
    <xf numFmtId="1" fontId="3" fillId="35" borderId="12" xfId="0" applyNumberFormat="1" applyFont="1" applyFill="1" applyBorder="1" applyAlignment="1" applyProtection="1">
      <alignment horizontal="center"/>
      <protection locked="0"/>
    </xf>
    <xf numFmtId="165" fontId="3" fillId="35" borderId="17" xfId="0" applyNumberFormat="1" applyFont="1" applyFill="1" applyBorder="1" applyAlignment="1" applyProtection="1">
      <alignment horizontal="center"/>
      <protection locked="0"/>
    </xf>
    <xf numFmtId="166" fontId="3" fillId="35" borderId="10" xfId="0" applyNumberFormat="1" applyFont="1" applyFill="1" applyBorder="1" applyAlignment="1" applyProtection="1">
      <alignment horizontal="center"/>
      <protection locked="0"/>
    </xf>
    <xf numFmtId="0" fontId="13" fillId="33" borderId="0" xfId="0" applyFont="1" applyFill="1" applyBorder="1" applyAlignment="1" applyProtection="1">
      <alignment horizontal="left"/>
      <protection hidden="1"/>
    </xf>
    <xf numFmtId="0" fontId="13" fillId="33" borderId="0" xfId="0" applyFont="1" applyFill="1" applyBorder="1" applyAlignment="1" applyProtection="1">
      <alignment horizontal="left"/>
      <protection hidden="1"/>
    </xf>
    <xf numFmtId="0" fontId="3" fillId="33" borderId="29" xfId="0" applyFont="1" applyFill="1" applyBorder="1" applyAlignment="1" applyProtection="1">
      <alignment horizontal="right"/>
      <protection hidden="1"/>
    </xf>
    <xf numFmtId="0" fontId="3" fillId="33" borderId="29" xfId="0" applyFont="1" applyFill="1" applyBorder="1" applyAlignment="1" applyProtection="1">
      <alignment horizontal="left"/>
      <protection hidden="1"/>
    </xf>
    <xf numFmtId="0" fontId="26" fillId="33" borderId="0" xfId="0" applyFont="1" applyFill="1" applyAlignment="1" applyProtection="1">
      <alignment horizontal="centerContinuous"/>
      <protection hidden="1"/>
    </xf>
    <xf numFmtId="0" fontId="27" fillId="33" borderId="0" xfId="0" applyFont="1" applyFill="1" applyAlignment="1" applyProtection="1">
      <alignment horizontal="centerContinuous"/>
      <protection hidden="1"/>
    </xf>
    <xf numFmtId="0" fontId="27" fillId="33" borderId="0" xfId="0" applyFont="1" applyFill="1" applyAlignment="1" applyProtection="1">
      <alignment/>
      <protection hidden="1"/>
    </xf>
    <xf numFmtId="0" fontId="2" fillId="33" borderId="0" xfId="0" applyFont="1" applyFill="1" applyAlignment="1" applyProtection="1">
      <alignment/>
      <protection hidden="1"/>
    </xf>
    <xf numFmtId="0" fontId="27" fillId="0" borderId="25" xfId="0" applyFont="1" applyFill="1" applyBorder="1" applyAlignment="1" applyProtection="1">
      <alignment horizontal="centerContinuous"/>
      <protection hidden="1"/>
    </xf>
    <xf numFmtId="0" fontId="27" fillId="0" borderId="26" xfId="0" applyFont="1" applyFill="1" applyBorder="1" applyAlignment="1" applyProtection="1">
      <alignment horizontal="centerContinuous"/>
      <protection hidden="1"/>
    </xf>
    <xf numFmtId="0" fontId="27" fillId="0" borderId="28" xfId="0" applyFont="1" applyFill="1" applyBorder="1" applyAlignment="1" applyProtection="1">
      <alignment horizontal="centerContinuous"/>
      <protection hidden="1"/>
    </xf>
    <xf numFmtId="0" fontId="27" fillId="0" borderId="22" xfId="0" applyFont="1" applyFill="1" applyBorder="1" applyAlignment="1" applyProtection="1">
      <alignment horizontal="centerContinuous"/>
      <protection hidden="1"/>
    </xf>
    <xf numFmtId="0" fontId="27" fillId="0" borderId="23" xfId="0" applyFont="1" applyFill="1" applyBorder="1" applyAlignment="1" applyProtection="1">
      <alignment horizontal="centerContinuous"/>
      <protection hidden="1"/>
    </xf>
    <xf numFmtId="0" fontId="27" fillId="0" borderId="30" xfId="0" applyFont="1" applyFill="1" applyBorder="1" applyAlignment="1" applyProtection="1">
      <alignment horizontal="centerContinuous"/>
      <protection hidden="1"/>
    </xf>
    <xf numFmtId="0" fontId="27" fillId="33" borderId="0" xfId="0" applyFont="1" applyFill="1" applyBorder="1" applyAlignment="1" applyProtection="1">
      <alignment horizontal="centerContinuous"/>
      <protection hidden="1"/>
    </xf>
    <xf numFmtId="0" fontId="29" fillId="33" borderId="0" xfId="0" applyFont="1" applyFill="1" applyAlignment="1" applyProtection="1">
      <alignment/>
      <protection hidden="1"/>
    </xf>
    <xf numFmtId="0" fontId="27" fillId="33" borderId="0" xfId="0" applyFont="1" applyFill="1" applyAlignment="1" applyProtection="1">
      <alignment horizontal="right"/>
      <protection hidden="1"/>
    </xf>
    <xf numFmtId="0" fontId="10" fillId="0" borderId="34" xfId="0" applyFont="1" applyFill="1" applyBorder="1" applyAlignment="1">
      <alignment horizontal="center"/>
    </xf>
    <xf numFmtId="0" fontId="10" fillId="0" borderId="0" xfId="0" applyNumberFormat="1" applyFont="1" applyBorder="1" applyAlignment="1">
      <alignment horizontal="center"/>
    </xf>
    <xf numFmtId="0" fontId="10" fillId="0" borderId="0" xfId="0" applyNumberFormat="1" applyFont="1" applyFill="1" applyBorder="1" applyAlignment="1">
      <alignment horizontal="center"/>
    </xf>
    <xf numFmtId="0" fontId="10" fillId="0" borderId="29" xfId="0" applyFont="1" applyFill="1" applyBorder="1" applyAlignment="1" quotePrefix="1">
      <alignment horizontal="center"/>
    </xf>
    <xf numFmtId="166" fontId="10" fillId="0" borderId="0" xfId="0" applyNumberFormat="1" applyFont="1" applyFill="1" applyBorder="1" applyAlignment="1">
      <alignment horizontal="center"/>
    </xf>
    <xf numFmtId="0" fontId="10" fillId="0" borderId="0" xfId="0" applyNumberFormat="1" applyFont="1" applyFill="1" applyBorder="1" applyAlignment="1">
      <alignment horizontal="center" vertical="center"/>
    </xf>
    <xf numFmtId="2" fontId="10" fillId="0" borderId="0" xfId="0" applyNumberFormat="1" applyFont="1" applyFill="1" applyBorder="1" applyAlignment="1">
      <alignment horizontal="center"/>
    </xf>
    <xf numFmtId="0" fontId="10" fillId="0" borderId="29" xfId="0" applyFont="1" applyFill="1" applyBorder="1" applyAlignment="1">
      <alignment horizontal="center"/>
    </xf>
    <xf numFmtId="0" fontId="10" fillId="0" borderId="21" xfId="0" applyFont="1" applyFill="1" applyBorder="1" applyAlignment="1">
      <alignment horizontal="center"/>
    </xf>
    <xf numFmtId="0" fontId="10" fillId="0" borderId="23" xfId="0" applyNumberFormat="1" applyFont="1" applyBorder="1" applyAlignment="1">
      <alignment horizontal="center"/>
    </xf>
    <xf numFmtId="0" fontId="10" fillId="0" borderId="23" xfId="0" applyNumberFormat="1" applyFont="1" applyFill="1" applyBorder="1" applyAlignment="1">
      <alignment horizontal="center"/>
    </xf>
    <xf numFmtId="0" fontId="10" fillId="0" borderId="30" xfId="0" applyFont="1" applyFill="1" applyBorder="1" applyAlignment="1" quotePrefix="1">
      <alignment horizontal="center"/>
    </xf>
    <xf numFmtId="0" fontId="9" fillId="33" borderId="25" xfId="0" applyFont="1" applyFill="1" applyBorder="1" applyAlignment="1" applyProtection="1">
      <alignment horizontal="centerContinuous"/>
      <protection hidden="1"/>
    </xf>
    <xf numFmtId="0" fontId="28" fillId="33" borderId="26" xfId="0" applyFont="1" applyFill="1" applyBorder="1" applyAlignment="1" applyProtection="1">
      <alignment horizontal="centerContinuous"/>
      <protection hidden="1"/>
    </xf>
    <xf numFmtId="0" fontId="28" fillId="33" borderId="28" xfId="0" applyFont="1" applyFill="1" applyBorder="1" applyAlignment="1" applyProtection="1">
      <alignment horizontal="centerContinuous"/>
      <protection hidden="1"/>
    </xf>
    <xf numFmtId="0" fontId="27" fillId="0" borderId="0" xfId="0" applyFont="1" applyFill="1" applyBorder="1" applyAlignment="1" applyProtection="1">
      <alignment horizontal="centerContinuous"/>
      <protection hidden="1"/>
    </xf>
    <xf numFmtId="0" fontId="27" fillId="0" borderId="27" xfId="0" applyFont="1" applyFill="1" applyBorder="1" applyAlignment="1" applyProtection="1">
      <alignment horizontal="centerContinuous"/>
      <protection hidden="1"/>
    </xf>
    <xf numFmtId="0" fontId="27" fillId="0" borderId="29" xfId="0" applyFont="1" applyFill="1" applyBorder="1" applyAlignment="1" applyProtection="1">
      <alignment horizontal="centerContinuous"/>
      <protection hidden="1"/>
    </xf>
    <xf numFmtId="0" fontId="0" fillId="33" borderId="26" xfId="0" applyFont="1" applyFill="1" applyBorder="1" applyAlignment="1" applyProtection="1">
      <alignment horizontal="centerContinuous"/>
      <protection hidden="1"/>
    </xf>
    <xf numFmtId="0" fontId="0" fillId="33" borderId="28" xfId="0" applyFont="1" applyFill="1" applyBorder="1" applyAlignment="1" applyProtection="1">
      <alignment horizontal="centerContinuous"/>
      <protection hidden="1"/>
    </xf>
    <xf numFmtId="0" fontId="27" fillId="33" borderId="0" xfId="0" applyFont="1" applyFill="1" applyAlignment="1" applyProtection="1">
      <alignment/>
      <protection hidden="1"/>
    </xf>
    <xf numFmtId="0" fontId="29" fillId="33" borderId="0" xfId="0" applyFont="1" applyFill="1" applyAlignment="1" applyProtection="1">
      <alignment horizontal="right"/>
      <protection hidden="1"/>
    </xf>
    <xf numFmtId="167" fontId="27" fillId="33" borderId="0" xfId="0" applyNumberFormat="1" applyFont="1" applyFill="1" applyAlignment="1" applyProtection="1">
      <alignment horizontal="center"/>
      <protection hidden="1"/>
    </xf>
    <xf numFmtId="2" fontId="29" fillId="33" borderId="0" xfId="0" applyNumberFormat="1" applyFont="1" applyFill="1" applyAlignment="1" applyProtection="1">
      <alignment horizontal="center"/>
      <protection hidden="1"/>
    </xf>
    <xf numFmtId="2" fontId="27" fillId="33" borderId="0" xfId="0" applyNumberFormat="1" applyFont="1" applyFill="1" applyAlignment="1" applyProtection="1">
      <alignment horizontal="center"/>
      <protection hidden="1"/>
    </xf>
    <xf numFmtId="0" fontId="30" fillId="33" borderId="0" xfId="0" applyFont="1" applyFill="1" applyAlignment="1" applyProtection="1">
      <alignment horizontal="centerContinuous"/>
      <protection hidden="1"/>
    </xf>
    <xf numFmtId="0" fontId="0" fillId="33" borderId="0" xfId="0" applyFill="1" applyAlignment="1" applyProtection="1">
      <alignment horizontal="right"/>
      <protection hidden="1"/>
    </xf>
    <xf numFmtId="0" fontId="20" fillId="33" borderId="0" xfId="0" applyFont="1" applyFill="1" applyAlignment="1" applyProtection="1">
      <alignment/>
      <protection hidden="1"/>
    </xf>
    <xf numFmtId="0" fontId="27" fillId="34" borderId="8" xfId="0" applyFont="1" applyFill="1" applyBorder="1" applyAlignment="1" applyProtection="1">
      <alignment horizontal="centerContinuous"/>
      <protection hidden="1"/>
    </xf>
    <xf numFmtId="0" fontId="30" fillId="34" borderId="24" xfId="0" applyFont="1" applyFill="1" applyBorder="1" applyAlignment="1" applyProtection="1">
      <alignment horizontal="centerContinuous"/>
      <protection hidden="1"/>
    </xf>
    <xf numFmtId="0" fontId="27" fillId="34" borderId="10" xfId="0" applyFont="1" applyFill="1" applyBorder="1" applyAlignment="1" applyProtection="1">
      <alignment horizontal="center"/>
      <protection hidden="1"/>
    </xf>
    <xf numFmtId="0" fontId="29" fillId="34" borderId="10" xfId="0" applyFont="1" applyFill="1" applyBorder="1" applyAlignment="1" applyProtection="1">
      <alignment horizontal="center"/>
      <protection hidden="1"/>
    </xf>
    <xf numFmtId="0" fontId="14" fillId="33" borderId="0" xfId="0" applyFont="1" applyFill="1" applyAlignment="1" applyProtection="1">
      <alignment/>
      <protection hidden="1"/>
    </xf>
    <xf numFmtId="0" fontId="10" fillId="33" borderId="0" xfId="0" applyFont="1" applyFill="1" applyAlignment="1" applyProtection="1">
      <alignment/>
      <protection hidden="1"/>
    </xf>
    <xf numFmtId="1" fontId="10" fillId="33" borderId="0" xfId="0" applyNumberFormat="1" applyFont="1" applyFill="1" applyAlignment="1" applyProtection="1">
      <alignment/>
      <protection hidden="1"/>
    </xf>
    <xf numFmtId="0" fontId="14" fillId="33" borderId="0" xfId="0" applyFont="1" applyFill="1" applyAlignment="1" applyProtection="1">
      <alignment horizontal="right"/>
      <protection hidden="1"/>
    </xf>
    <xf numFmtId="167" fontId="20" fillId="33" borderId="11" xfId="0" applyNumberFormat="1" applyFont="1" applyFill="1" applyBorder="1" applyAlignment="1" applyProtection="1">
      <alignment horizontal="center"/>
      <protection hidden="1"/>
    </xf>
    <xf numFmtId="2" fontId="10" fillId="33" borderId="11" xfId="0" applyNumberFormat="1" applyFont="1" applyFill="1" applyBorder="1" applyAlignment="1" applyProtection="1">
      <alignment horizontal="center"/>
      <protection hidden="1"/>
    </xf>
    <xf numFmtId="167" fontId="20" fillId="33" borderId="12" xfId="0" applyNumberFormat="1" applyFont="1" applyFill="1" applyBorder="1" applyAlignment="1" applyProtection="1">
      <alignment horizontal="center"/>
      <protection hidden="1"/>
    </xf>
    <xf numFmtId="2" fontId="10" fillId="33" borderId="12" xfId="0" applyNumberFormat="1" applyFont="1" applyFill="1" applyBorder="1" applyAlignment="1" applyProtection="1">
      <alignment horizontal="center"/>
      <protection hidden="1"/>
    </xf>
    <xf numFmtId="167" fontId="20" fillId="33" borderId="17" xfId="0" applyNumberFormat="1" applyFont="1" applyFill="1" applyBorder="1" applyAlignment="1" applyProtection="1">
      <alignment horizontal="center"/>
      <protection hidden="1"/>
    </xf>
    <xf numFmtId="2" fontId="10" fillId="33" borderId="17" xfId="0" applyNumberFormat="1" applyFont="1" applyFill="1" applyBorder="1" applyAlignment="1" applyProtection="1">
      <alignment horizontal="center"/>
      <protection hidden="1"/>
    </xf>
    <xf numFmtId="167" fontId="10" fillId="33" borderId="0" xfId="0" applyNumberFormat="1" applyFont="1" applyFill="1" applyAlignment="1" applyProtection="1">
      <alignment horizontal="center"/>
      <protection hidden="1"/>
    </xf>
    <xf numFmtId="2" fontId="10" fillId="33" borderId="0" xfId="0" applyNumberFormat="1" applyFont="1" applyFill="1" applyAlignment="1" applyProtection="1">
      <alignment horizontal="center"/>
      <protection hidden="1"/>
    </xf>
    <xf numFmtId="165" fontId="3" fillId="33" borderId="11" xfId="0" applyNumberFormat="1" applyFont="1" applyFill="1" applyBorder="1" applyAlignment="1" applyProtection="1">
      <alignment horizontal="center"/>
      <protection hidden="1"/>
    </xf>
    <xf numFmtId="0" fontId="28" fillId="33" borderId="0" xfId="0" applyFont="1" applyFill="1" applyAlignment="1" applyProtection="1">
      <alignment/>
      <protection hidden="1"/>
    </xf>
    <xf numFmtId="0" fontId="31" fillId="33" borderId="0" xfId="0" applyFont="1" applyFill="1" applyAlignment="1" applyProtection="1">
      <alignment/>
      <protection hidden="1"/>
    </xf>
    <xf numFmtId="0" fontId="3" fillId="33" borderId="0" xfId="0" applyFont="1" applyFill="1" applyAlignment="1" applyProtection="1">
      <alignment horizontal="left"/>
      <protection hidden="1"/>
    </xf>
    <xf numFmtId="0" fontId="8" fillId="33" borderId="0" xfId="0" applyFont="1" applyFill="1" applyAlignment="1" applyProtection="1">
      <alignment horizontal="centerContinuous"/>
      <protection hidden="1"/>
    </xf>
    <xf numFmtId="166" fontId="3" fillId="33" borderId="17" xfId="0" applyNumberFormat="1" applyFont="1" applyFill="1" applyBorder="1" applyAlignment="1" applyProtection="1">
      <alignment horizontal="center"/>
      <protection hidden="1"/>
    </xf>
    <xf numFmtId="0" fontId="9" fillId="33" borderId="0" xfId="0" applyFont="1" applyFill="1" applyBorder="1" applyAlignment="1" applyProtection="1">
      <alignment/>
      <protection hidden="1"/>
    </xf>
    <xf numFmtId="2" fontId="3" fillId="33" borderId="17" xfId="0" applyNumberFormat="1" applyFont="1" applyFill="1" applyBorder="1" applyAlignment="1" applyProtection="1">
      <alignment horizontal="center"/>
      <protection hidden="1"/>
    </xf>
    <xf numFmtId="0" fontId="29" fillId="33" borderId="0" xfId="0" applyFont="1" applyFill="1" applyBorder="1" applyAlignment="1" applyProtection="1">
      <alignment/>
      <protection hidden="1"/>
    </xf>
    <xf numFmtId="0" fontId="32" fillId="33" borderId="0" xfId="0" applyFont="1" applyFill="1" applyAlignment="1" applyProtection="1">
      <alignment/>
      <protection hidden="1"/>
    </xf>
    <xf numFmtId="0" fontId="3" fillId="33" borderId="0" xfId="0" applyNumberFormat="1" applyFont="1" applyFill="1" applyBorder="1" applyAlignment="1" applyProtection="1">
      <alignment horizontal="center"/>
      <protection hidden="1"/>
    </xf>
    <xf numFmtId="0" fontId="33" fillId="33" borderId="0" xfId="0" applyFont="1" applyFill="1" applyBorder="1" applyAlignment="1" applyProtection="1">
      <alignment/>
      <protection hidden="1"/>
    </xf>
    <xf numFmtId="165" fontId="3" fillId="33" borderId="0" xfId="0" applyNumberFormat="1" applyFont="1" applyFill="1" applyAlignment="1" applyProtection="1">
      <alignment horizontal="left"/>
      <protection hidden="1"/>
    </xf>
    <xf numFmtId="0" fontId="34" fillId="33" borderId="0" xfId="0" applyFont="1" applyFill="1" applyBorder="1" applyAlignment="1" applyProtection="1">
      <alignment/>
      <protection hidden="1"/>
    </xf>
    <xf numFmtId="0" fontId="63" fillId="33" borderId="0" xfId="0" applyFont="1" applyFill="1" applyBorder="1" applyAlignment="1" applyProtection="1">
      <alignment/>
      <protection hidden="1"/>
    </xf>
    <xf numFmtId="2" fontId="63" fillId="33" borderId="0" xfId="0" applyNumberFormat="1" applyFont="1" applyFill="1" applyBorder="1" applyAlignment="1" applyProtection="1">
      <alignment horizontal="center"/>
      <protection hidden="1"/>
    </xf>
    <xf numFmtId="165" fontId="63" fillId="33" borderId="0" xfId="0" applyNumberFormat="1" applyFont="1" applyFill="1" applyAlignment="1" applyProtection="1">
      <alignment horizontal="center"/>
      <protection hidden="1"/>
    </xf>
    <xf numFmtId="165" fontId="63" fillId="33" borderId="0" xfId="0" applyNumberFormat="1" applyFont="1" applyFill="1" applyAlignment="1" applyProtection="1">
      <alignment horizontal="left"/>
      <protection hidden="1"/>
    </xf>
    <xf numFmtId="0" fontId="11" fillId="36" borderId="25" xfId="0" applyFont="1" applyFill="1" applyBorder="1" applyAlignment="1" applyProtection="1">
      <alignment horizontal="centerContinuous"/>
      <protection hidden="1"/>
    </xf>
    <xf numFmtId="0" fontId="64" fillId="33" borderId="0" xfId="0" applyFont="1" applyFill="1" applyAlignment="1" applyProtection="1">
      <alignment/>
      <protection hidden="1"/>
    </xf>
    <xf numFmtId="0" fontId="65" fillId="33" borderId="25" xfId="0" applyFont="1" applyFill="1" applyBorder="1" applyAlignment="1" applyProtection="1">
      <alignment/>
      <protection hidden="1"/>
    </xf>
    <xf numFmtId="0" fontId="64" fillId="33" borderId="26" xfId="0" applyFont="1" applyFill="1" applyBorder="1" applyAlignment="1" applyProtection="1">
      <alignment/>
      <protection hidden="1"/>
    </xf>
    <xf numFmtId="0" fontId="64" fillId="33" borderId="28" xfId="0" applyFont="1" applyFill="1" applyBorder="1" applyAlignment="1" applyProtection="1">
      <alignment/>
      <protection hidden="1"/>
    </xf>
    <xf numFmtId="0" fontId="64" fillId="33" borderId="27" xfId="0" applyFont="1" applyFill="1" applyBorder="1" applyAlignment="1" applyProtection="1">
      <alignment horizontal="right"/>
      <protection hidden="1"/>
    </xf>
    <xf numFmtId="166" fontId="64" fillId="33" borderId="0" xfId="0" applyNumberFormat="1" applyFont="1" applyFill="1" applyBorder="1" applyAlignment="1" applyProtection="1">
      <alignment horizontal="center"/>
      <protection hidden="1"/>
    </xf>
    <xf numFmtId="0" fontId="64" fillId="33" borderId="0" xfId="0" applyFont="1" applyFill="1" applyBorder="1" applyAlignment="1" applyProtection="1">
      <alignment/>
      <protection hidden="1"/>
    </xf>
    <xf numFmtId="0" fontId="64" fillId="33" borderId="0" xfId="0" applyFont="1" applyFill="1" applyBorder="1" applyAlignment="1" applyProtection="1">
      <alignment/>
      <protection hidden="1"/>
    </xf>
    <xf numFmtId="0" fontId="64" fillId="33" borderId="29" xfId="0" applyFont="1" applyFill="1" applyBorder="1" applyAlignment="1" applyProtection="1">
      <alignment/>
      <protection hidden="1"/>
    </xf>
    <xf numFmtId="2" fontId="64" fillId="33" borderId="0" xfId="0" applyNumberFormat="1" applyFont="1" applyFill="1" applyBorder="1" applyAlignment="1" applyProtection="1">
      <alignment horizontal="center"/>
      <protection hidden="1"/>
    </xf>
    <xf numFmtId="2" fontId="64" fillId="33" borderId="0" xfId="0" applyNumberFormat="1" applyFont="1" applyFill="1" applyBorder="1" applyAlignment="1" applyProtection="1">
      <alignment/>
      <protection hidden="1"/>
    </xf>
    <xf numFmtId="0" fontId="66" fillId="33" borderId="27" xfId="0" applyFont="1" applyFill="1" applyBorder="1" applyAlignment="1" applyProtection="1">
      <alignment horizontal="right"/>
      <protection hidden="1"/>
    </xf>
    <xf numFmtId="0" fontId="66" fillId="33" borderId="0" xfId="0" applyFont="1" applyFill="1" applyBorder="1" applyAlignment="1" applyProtection="1">
      <alignment/>
      <protection hidden="1"/>
    </xf>
    <xf numFmtId="173" fontId="64" fillId="33" borderId="0" xfId="0" applyNumberFormat="1" applyFont="1" applyFill="1" applyBorder="1" applyAlignment="1" applyProtection="1">
      <alignment horizontal="center"/>
      <protection hidden="1"/>
    </xf>
    <xf numFmtId="0" fontId="66" fillId="33" borderId="22" xfId="0" applyFont="1" applyFill="1" applyBorder="1" applyAlignment="1" applyProtection="1">
      <alignment horizontal="right"/>
      <protection hidden="1"/>
    </xf>
    <xf numFmtId="2" fontId="64" fillId="33" borderId="23" xfId="0" applyNumberFormat="1" applyFont="1" applyFill="1" applyBorder="1" applyAlignment="1" applyProtection="1">
      <alignment horizontal="center"/>
      <protection hidden="1"/>
    </xf>
    <xf numFmtId="0" fontId="64" fillId="33" borderId="23" xfId="0" applyFont="1" applyFill="1" applyBorder="1" applyAlignment="1" applyProtection="1">
      <alignment/>
      <protection hidden="1"/>
    </xf>
    <xf numFmtId="0" fontId="66" fillId="33" borderId="23" xfId="0" applyFont="1" applyFill="1" applyBorder="1" applyAlignment="1" applyProtection="1">
      <alignment/>
      <protection hidden="1"/>
    </xf>
    <xf numFmtId="0" fontId="64" fillId="33" borderId="23" xfId="0" applyFont="1" applyFill="1" applyBorder="1" applyAlignment="1" applyProtection="1">
      <alignment/>
      <protection hidden="1"/>
    </xf>
    <xf numFmtId="0" fontId="64" fillId="33" borderId="30" xfId="0" applyFont="1" applyFill="1" applyBorder="1" applyAlignment="1" applyProtection="1">
      <alignment/>
      <protection hidden="1"/>
    </xf>
    <xf numFmtId="174" fontId="64" fillId="33" borderId="0" xfId="0" applyNumberFormat="1" applyFont="1" applyFill="1" applyBorder="1" applyAlignment="1" applyProtection="1">
      <alignment horizontal="center"/>
      <protection hidden="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dxfs count="4">
    <dxf>
      <font>
        <b/>
        <i val="0"/>
        <color indexed="10"/>
      </font>
    </dxf>
    <dxf>
      <font>
        <b/>
        <i val="0"/>
        <color indexed="10"/>
      </font>
    </dxf>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3.emf" /><Relationship Id="rId4"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0.emf" /><Relationship Id="rId6"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143</xdr:row>
      <xdr:rowOff>85725</xdr:rowOff>
    </xdr:from>
    <xdr:to>
      <xdr:col>8</xdr:col>
      <xdr:colOff>542925</xdr:colOff>
      <xdr:row>164</xdr:row>
      <xdr:rowOff>76200</xdr:rowOff>
    </xdr:to>
    <xdr:grpSp>
      <xdr:nvGrpSpPr>
        <xdr:cNvPr id="1" name="Group 2"/>
        <xdr:cNvGrpSpPr>
          <a:grpSpLocks/>
        </xdr:cNvGrpSpPr>
      </xdr:nvGrpSpPr>
      <xdr:grpSpPr>
        <a:xfrm>
          <a:off x="3057525" y="23279100"/>
          <a:ext cx="2533650" cy="3390900"/>
          <a:chOff x="321" y="2444"/>
          <a:chExt cx="266" cy="356"/>
        </a:xfrm>
        <a:solidFill>
          <a:srgbClr val="FFFFFF"/>
        </a:solidFill>
      </xdr:grpSpPr>
      <xdr:pic>
        <xdr:nvPicPr>
          <xdr:cNvPr id="2" name="Picture 3"/>
          <xdr:cNvPicPr preferRelativeResize="1">
            <a:picLocks noChangeAspect="1"/>
          </xdr:cNvPicPr>
        </xdr:nvPicPr>
        <xdr:blipFill>
          <a:blip r:embed="rId1"/>
          <a:srcRect l="2214" t="2493" r="738"/>
          <a:stretch>
            <a:fillRect/>
          </a:stretch>
        </xdr:blipFill>
        <xdr:spPr>
          <a:xfrm>
            <a:off x="321" y="2449"/>
            <a:ext cx="262" cy="351"/>
          </a:xfrm>
          <a:prstGeom prst="rect">
            <a:avLst/>
          </a:prstGeom>
          <a:noFill/>
          <a:ln w="9525" cmpd="sng">
            <a:noFill/>
          </a:ln>
        </xdr:spPr>
      </xdr:pic>
      <xdr:sp>
        <xdr:nvSpPr>
          <xdr:cNvPr id="3" name="Text Box 4"/>
          <xdr:cNvSpPr txBox="1">
            <a:spLocks noChangeArrowheads="1"/>
          </xdr:cNvSpPr>
        </xdr:nvSpPr>
        <xdr:spPr>
          <a:xfrm>
            <a:off x="412" y="2770"/>
            <a:ext cx="27" cy="18"/>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bf</a:t>
            </a:r>
          </a:p>
        </xdr:txBody>
      </xdr:sp>
      <xdr:sp>
        <xdr:nvSpPr>
          <xdr:cNvPr id="4" name="Text Box 5"/>
          <xdr:cNvSpPr txBox="1">
            <a:spLocks noChangeArrowheads="1"/>
          </xdr:cNvSpPr>
        </xdr:nvSpPr>
        <xdr:spPr>
          <a:xfrm>
            <a:off x="569" y="2743"/>
            <a:ext cx="18" cy="18"/>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ta</a:t>
            </a:r>
          </a:p>
        </xdr:txBody>
      </xdr:sp>
      <xdr:sp>
        <xdr:nvSpPr>
          <xdr:cNvPr id="5" name="Text Box 6"/>
          <xdr:cNvSpPr txBox="1">
            <a:spLocks noChangeArrowheads="1"/>
          </xdr:cNvSpPr>
        </xdr:nvSpPr>
        <xdr:spPr>
          <a:xfrm>
            <a:off x="382" y="2571"/>
            <a:ext cx="19" cy="18"/>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tw</a:t>
            </a:r>
          </a:p>
        </xdr:txBody>
      </xdr:sp>
      <xdr:sp>
        <xdr:nvSpPr>
          <xdr:cNvPr id="6" name="Text Box 7"/>
          <xdr:cNvSpPr txBox="1">
            <a:spLocks noChangeArrowheads="1"/>
          </xdr:cNvSpPr>
        </xdr:nvSpPr>
        <xdr:spPr>
          <a:xfrm>
            <a:off x="370" y="2752"/>
            <a:ext cx="28" cy="19"/>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bf/4</a:t>
            </a:r>
          </a:p>
        </xdr:txBody>
      </xdr:sp>
      <xdr:sp>
        <xdr:nvSpPr>
          <xdr:cNvPr id="7" name="Text Box 8"/>
          <xdr:cNvSpPr txBox="1">
            <a:spLocks noChangeArrowheads="1"/>
          </xdr:cNvSpPr>
        </xdr:nvSpPr>
        <xdr:spPr>
          <a:xfrm>
            <a:off x="326" y="2686"/>
            <a:ext cx="18" cy="18"/>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tf</a:t>
            </a:r>
          </a:p>
        </xdr:txBody>
      </xdr:sp>
      <xdr:sp>
        <xdr:nvSpPr>
          <xdr:cNvPr id="8" name="Text Box 9"/>
          <xdr:cNvSpPr txBox="1">
            <a:spLocks noChangeArrowheads="1"/>
          </xdr:cNvSpPr>
        </xdr:nvSpPr>
        <xdr:spPr>
          <a:xfrm>
            <a:off x="471" y="2609"/>
            <a:ext cx="14" cy="17"/>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X</a:t>
            </a:r>
          </a:p>
        </xdr:txBody>
      </xdr:sp>
      <xdr:sp>
        <xdr:nvSpPr>
          <xdr:cNvPr id="9" name="Text Box 10"/>
          <xdr:cNvSpPr txBox="1">
            <a:spLocks noChangeArrowheads="1"/>
          </xdr:cNvSpPr>
        </xdr:nvSpPr>
        <xdr:spPr>
          <a:xfrm>
            <a:off x="385" y="2630"/>
            <a:ext cx="14" cy="17"/>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Z</a:t>
            </a:r>
          </a:p>
        </xdr:txBody>
      </xdr:sp>
      <xdr:sp>
        <xdr:nvSpPr>
          <xdr:cNvPr id="10" name="Text Box 11"/>
          <xdr:cNvSpPr txBox="1">
            <a:spLocks noChangeArrowheads="1"/>
          </xdr:cNvSpPr>
        </xdr:nvSpPr>
        <xdr:spPr>
          <a:xfrm>
            <a:off x="417" y="2444"/>
            <a:ext cx="14" cy="17"/>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Y</a:t>
            </a:r>
          </a:p>
        </xdr:txBody>
      </xdr:sp>
      <xdr:pic>
        <xdr:nvPicPr>
          <xdr:cNvPr id="11" name="Picture 12"/>
          <xdr:cNvPicPr preferRelativeResize="1">
            <a:picLocks noChangeAspect="1"/>
          </xdr:cNvPicPr>
        </xdr:nvPicPr>
        <xdr:blipFill>
          <a:blip r:embed="rId2"/>
          <a:stretch>
            <a:fillRect/>
          </a:stretch>
        </xdr:blipFill>
        <xdr:spPr>
          <a:xfrm>
            <a:off x="486" y="2665"/>
            <a:ext cx="31" cy="31"/>
          </a:xfrm>
          <a:prstGeom prst="rect">
            <a:avLst/>
          </a:prstGeom>
          <a:noFill/>
          <a:ln w="9525" cmpd="sng">
            <a:noFill/>
          </a:ln>
        </xdr:spPr>
      </xdr:pic>
      <xdr:sp>
        <xdr:nvSpPr>
          <xdr:cNvPr id="12" name="Text Box 13"/>
          <xdr:cNvSpPr txBox="1">
            <a:spLocks noChangeArrowheads="1"/>
          </xdr:cNvSpPr>
        </xdr:nvSpPr>
        <xdr:spPr>
          <a:xfrm>
            <a:off x="482" y="2627"/>
            <a:ext cx="26" cy="17"/>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Pw</a:t>
            </a:r>
          </a:p>
        </xdr:txBody>
      </xdr:sp>
      <xdr:sp>
        <xdr:nvSpPr>
          <xdr:cNvPr id="13" name="Text Box 14"/>
          <xdr:cNvSpPr txBox="1">
            <a:spLocks noChangeArrowheads="1"/>
          </xdr:cNvSpPr>
        </xdr:nvSpPr>
        <xdr:spPr>
          <a:xfrm>
            <a:off x="352" y="2626"/>
            <a:ext cx="26" cy="17"/>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Pw</a:t>
            </a:r>
          </a:p>
        </xdr:txBody>
      </xdr:sp>
      <xdr:sp>
        <xdr:nvSpPr>
          <xdr:cNvPr id="14" name="Line 15"/>
          <xdr:cNvSpPr>
            <a:spLocks/>
          </xdr:cNvSpPr>
        </xdr:nvSpPr>
        <xdr:spPr>
          <a:xfrm flipV="1">
            <a:off x="487" y="275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342900</xdr:colOff>
      <xdr:row>114</xdr:row>
      <xdr:rowOff>95250</xdr:rowOff>
    </xdr:from>
    <xdr:to>
      <xdr:col>9</xdr:col>
      <xdr:colOff>161925</xdr:colOff>
      <xdr:row>125</xdr:row>
      <xdr:rowOff>85725</xdr:rowOff>
    </xdr:to>
    <xdr:grpSp>
      <xdr:nvGrpSpPr>
        <xdr:cNvPr id="15" name="Group 16"/>
        <xdr:cNvGrpSpPr>
          <a:grpSpLocks/>
        </xdr:cNvGrpSpPr>
      </xdr:nvGrpSpPr>
      <xdr:grpSpPr>
        <a:xfrm>
          <a:off x="4210050" y="18592800"/>
          <a:ext cx="1609725" cy="1771650"/>
          <a:chOff x="442" y="1975"/>
          <a:chExt cx="169" cy="186"/>
        </a:xfrm>
        <a:solidFill>
          <a:srgbClr val="FFFFFF"/>
        </a:solidFill>
      </xdr:grpSpPr>
      <xdr:pic>
        <xdr:nvPicPr>
          <xdr:cNvPr id="16" name="Picture 17"/>
          <xdr:cNvPicPr preferRelativeResize="1">
            <a:picLocks noChangeAspect="1"/>
          </xdr:cNvPicPr>
        </xdr:nvPicPr>
        <xdr:blipFill>
          <a:blip r:embed="rId3"/>
          <a:srcRect t="3242" r="40097"/>
          <a:stretch>
            <a:fillRect/>
          </a:stretch>
        </xdr:blipFill>
        <xdr:spPr>
          <a:xfrm>
            <a:off x="442" y="1982"/>
            <a:ext cx="125" cy="179"/>
          </a:xfrm>
          <a:prstGeom prst="rect">
            <a:avLst/>
          </a:prstGeom>
          <a:noFill/>
          <a:ln w="9525" cmpd="sng">
            <a:noFill/>
          </a:ln>
        </xdr:spPr>
      </xdr:pic>
      <xdr:sp>
        <xdr:nvSpPr>
          <xdr:cNvPr id="17" name="Text Box 18"/>
          <xdr:cNvSpPr txBox="1">
            <a:spLocks noChangeArrowheads="1"/>
          </xdr:cNvSpPr>
        </xdr:nvSpPr>
        <xdr:spPr>
          <a:xfrm>
            <a:off x="462" y="2095"/>
            <a:ext cx="26" cy="17"/>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Pw</a:t>
            </a:r>
          </a:p>
        </xdr:txBody>
      </xdr:sp>
      <xdr:sp>
        <xdr:nvSpPr>
          <xdr:cNvPr id="18" name="Text Box 19"/>
          <xdr:cNvSpPr txBox="1">
            <a:spLocks noChangeArrowheads="1"/>
          </xdr:cNvSpPr>
        </xdr:nvSpPr>
        <xdr:spPr>
          <a:xfrm>
            <a:off x="505" y="2095"/>
            <a:ext cx="26" cy="17"/>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Pw</a:t>
            </a:r>
          </a:p>
        </xdr:txBody>
      </xdr:sp>
      <xdr:sp>
        <xdr:nvSpPr>
          <xdr:cNvPr id="19" name="Text Box 20"/>
          <xdr:cNvSpPr txBox="1">
            <a:spLocks noChangeArrowheads="1"/>
          </xdr:cNvSpPr>
        </xdr:nvSpPr>
        <xdr:spPr>
          <a:xfrm>
            <a:off x="565" y="2006"/>
            <a:ext cx="46" cy="3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Trolley Wheel</a:t>
            </a:r>
          </a:p>
        </xdr:txBody>
      </xdr:sp>
      <xdr:sp>
        <xdr:nvSpPr>
          <xdr:cNvPr id="20" name="Text Box 21"/>
          <xdr:cNvSpPr txBox="1">
            <a:spLocks noChangeArrowheads="1"/>
          </xdr:cNvSpPr>
        </xdr:nvSpPr>
        <xdr:spPr>
          <a:xfrm>
            <a:off x="543" y="1975"/>
            <a:ext cx="54" cy="22"/>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S-shape</a:t>
            </a:r>
          </a:p>
        </xdr:txBody>
      </xdr:sp>
    </xdr:grpSp>
    <xdr:clientData/>
  </xdr:twoCellAnchor>
  <xdr:twoCellAnchor>
    <xdr:from>
      <xdr:col>0</xdr:col>
      <xdr:colOff>133350</xdr:colOff>
      <xdr:row>146</xdr:row>
      <xdr:rowOff>9525</xdr:rowOff>
    </xdr:from>
    <xdr:to>
      <xdr:col>4</xdr:col>
      <xdr:colOff>123825</xdr:colOff>
      <xdr:row>164</xdr:row>
      <xdr:rowOff>76200</xdr:rowOff>
    </xdr:to>
    <xdr:grpSp>
      <xdr:nvGrpSpPr>
        <xdr:cNvPr id="21" name="Group 22"/>
        <xdr:cNvGrpSpPr>
          <a:grpSpLocks/>
        </xdr:cNvGrpSpPr>
      </xdr:nvGrpSpPr>
      <xdr:grpSpPr>
        <a:xfrm>
          <a:off x="133350" y="23688675"/>
          <a:ext cx="2638425" cy="2981325"/>
          <a:chOff x="14" y="2487"/>
          <a:chExt cx="277" cy="313"/>
        </a:xfrm>
        <a:solidFill>
          <a:srgbClr val="FFFFFF"/>
        </a:solidFill>
      </xdr:grpSpPr>
      <xdr:pic>
        <xdr:nvPicPr>
          <xdr:cNvPr id="22" name="Picture 23"/>
          <xdr:cNvPicPr preferRelativeResize="1">
            <a:picLocks noChangeAspect="1"/>
          </xdr:cNvPicPr>
        </xdr:nvPicPr>
        <xdr:blipFill>
          <a:blip r:embed="rId4"/>
          <a:srcRect t="5329"/>
          <a:stretch>
            <a:fillRect/>
          </a:stretch>
        </xdr:blipFill>
        <xdr:spPr>
          <a:xfrm>
            <a:off x="14" y="2487"/>
            <a:ext cx="277" cy="313"/>
          </a:xfrm>
          <a:prstGeom prst="rect">
            <a:avLst/>
          </a:prstGeom>
          <a:noFill/>
          <a:ln w="9525" cmpd="sng">
            <a:noFill/>
          </a:ln>
        </xdr:spPr>
      </xdr:pic>
      <xdr:sp>
        <xdr:nvSpPr>
          <xdr:cNvPr id="23" name="Text Box 24"/>
          <xdr:cNvSpPr txBox="1">
            <a:spLocks noChangeArrowheads="1"/>
          </xdr:cNvSpPr>
        </xdr:nvSpPr>
        <xdr:spPr>
          <a:xfrm>
            <a:off x="169" y="2766"/>
            <a:ext cx="31" cy="18"/>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tw/2</a:t>
            </a:r>
          </a:p>
        </xdr:txBody>
      </xdr:sp>
      <xdr:sp>
        <xdr:nvSpPr>
          <xdr:cNvPr id="24" name="Text Box 25"/>
          <xdr:cNvSpPr txBox="1">
            <a:spLocks noChangeArrowheads="1"/>
          </xdr:cNvSpPr>
        </xdr:nvSpPr>
        <xdr:spPr>
          <a:xfrm>
            <a:off x="26" y="2743"/>
            <a:ext cx="49" cy="19"/>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Point 2</a:t>
            </a:r>
          </a:p>
        </xdr:txBody>
      </xdr:sp>
      <xdr:sp>
        <xdr:nvSpPr>
          <xdr:cNvPr id="25" name="Text Box 26"/>
          <xdr:cNvSpPr txBox="1">
            <a:spLocks noChangeArrowheads="1"/>
          </xdr:cNvSpPr>
        </xdr:nvSpPr>
        <xdr:spPr>
          <a:xfrm>
            <a:off x="26" y="2770"/>
            <a:ext cx="49" cy="19"/>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Point 0</a:t>
            </a:r>
          </a:p>
        </xdr:txBody>
      </xdr:sp>
    </xdr:grpSp>
    <xdr:clientData/>
  </xdr:twoCellAnchor>
  <xdr:twoCellAnchor>
    <xdr:from>
      <xdr:col>3</xdr:col>
      <xdr:colOff>371475</xdr:colOff>
      <xdr:row>161</xdr:row>
      <xdr:rowOff>38100</xdr:rowOff>
    </xdr:from>
    <xdr:to>
      <xdr:col>4</xdr:col>
      <xdr:colOff>228600</xdr:colOff>
      <xdr:row>162</xdr:row>
      <xdr:rowOff>57150</xdr:rowOff>
    </xdr:to>
    <xdr:sp>
      <xdr:nvSpPr>
        <xdr:cNvPr id="26" name="Text Box 27"/>
        <xdr:cNvSpPr txBox="1">
          <a:spLocks noChangeArrowheads="1"/>
        </xdr:cNvSpPr>
      </xdr:nvSpPr>
      <xdr:spPr>
        <a:xfrm>
          <a:off x="2409825" y="26146125"/>
          <a:ext cx="46672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Point 1</a:t>
          </a:r>
        </a:p>
      </xdr:txBody>
    </xdr:sp>
    <xdr:clientData/>
  </xdr:twoCellAnchor>
  <xdr:twoCellAnchor>
    <xdr:from>
      <xdr:col>3</xdr:col>
      <xdr:colOff>542925</xdr:colOff>
      <xdr:row>7</xdr:row>
      <xdr:rowOff>152400</xdr:rowOff>
    </xdr:from>
    <xdr:to>
      <xdr:col>8</xdr:col>
      <xdr:colOff>523875</xdr:colOff>
      <xdr:row>14</xdr:row>
      <xdr:rowOff>28575</xdr:rowOff>
    </xdr:to>
    <xdr:grpSp>
      <xdr:nvGrpSpPr>
        <xdr:cNvPr id="27" name="Group 1"/>
        <xdr:cNvGrpSpPr>
          <a:grpSpLocks/>
        </xdr:cNvGrpSpPr>
      </xdr:nvGrpSpPr>
      <xdr:grpSpPr>
        <a:xfrm>
          <a:off x="2581275" y="1323975"/>
          <a:ext cx="2990850" cy="1009650"/>
          <a:chOff x="2581275" y="1323975"/>
          <a:chExt cx="2990850" cy="1009650"/>
        </a:xfrm>
        <a:solidFill>
          <a:srgbClr val="FFFFFF"/>
        </a:solidFill>
      </xdr:grpSpPr>
      <xdr:sp>
        <xdr:nvSpPr>
          <xdr:cNvPr id="28" name="Line 32"/>
          <xdr:cNvSpPr>
            <a:spLocks/>
          </xdr:cNvSpPr>
        </xdr:nvSpPr>
        <xdr:spPr>
          <a:xfrm flipV="1">
            <a:off x="2590995" y="1971665"/>
            <a:ext cx="298113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AutoShape 33"/>
          <xdr:cNvSpPr>
            <a:spLocks/>
          </xdr:cNvSpPr>
        </xdr:nvSpPr>
        <xdr:spPr>
          <a:xfrm rot="10800000">
            <a:off x="2695675" y="1885845"/>
            <a:ext cx="76267" cy="76229"/>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34" descr="Light upward diagonal"/>
          <xdr:cNvSpPr>
            <a:spLocks/>
          </xdr:cNvSpPr>
        </xdr:nvSpPr>
        <xdr:spPr>
          <a:xfrm>
            <a:off x="2647821" y="1800277"/>
            <a:ext cx="180946" cy="76229"/>
          </a:xfrm>
          <a:prstGeom prst="rect">
            <a:avLst/>
          </a:prstGeom>
          <a:pattFill prst="ltUpDiag">
            <a:fgClr>
              <a:srgbClr val="000000"/>
            </a:fgClr>
            <a:bgClr>
              <a:srgbClr val="FFFFFF"/>
            </a:bgClr>
          </a:patt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5"/>
          <xdr:cNvSpPr>
            <a:spLocks/>
          </xdr:cNvSpPr>
        </xdr:nvSpPr>
        <xdr:spPr>
          <a:xfrm>
            <a:off x="2647821" y="1876506"/>
            <a:ext cx="17122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Rectangle 36" descr="Light upward diagonal"/>
          <xdr:cNvSpPr>
            <a:spLocks/>
          </xdr:cNvSpPr>
        </xdr:nvSpPr>
        <xdr:spPr>
          <a:xfrm>
            <a:off x="4647952" y="1800277"/>
            <a:ext cx="180946" cy="76229"/>
          </a:xfrm>
          <a:prstGeom prst="rect">
            <a:avLst/>
          </a:prstGeom>
          <a:pattFill prst="ltUpDiag">
            <a:fgClr>
              <a:srgbClr val="000000"/>
            </a:fgClr>
            <a:bgClr>
              <a:srgbClr val="FFFFFF"/>
            </a:bgClr>
          </a:patt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7"/>
          <xdr:cNvSpPr>
            <a:spLocks/>
          </xdr:cNvSpPr>
        </xdr:nvSpPr>
        <xdr:spPr>
          <a:xfrm>
            <a:off x="4647952" y="1876506"/>
            <a:ext cx="17122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8"/>
          <xdr:cNvSpPr>
            <a:spLocks/>
          </xdr:cNvSpPr>
        </xdr:nvSpPr>
        <xdr:spPr>
          <a:xfrm>
            <a:off x="2733808" y="1323975"/>
            <a:ext cx="0" cy="457119"/>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35" name="Line 39"/>
          <xdr:cNvSpPr>
            <a:spLocks/>
          </xdr:cNvSpPr>
        </xdr:nvSpPr>
        <xdr:spPr>
          <a:xfrm>
            <a:off x="4733939" y="1323975"/>
            <a:ext cx="0" cy="457119"/>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36" name="Line 40"/>
          <xdr:cNvSpPr>
            <a:spLocks/>
          </xdr:cNvSpPr>
        </xdr:nvSpPr>
        <xdr:spPr>
          <a:xfrm>
            <a:off x="2733808" y="1495363"/>
            <a:ext cx="200013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7" name="Line 41"/>
          <xdr:cNvSpPr>
            <a:spLocks/>
          </xdr:cNvSpPr>
        </xdr:nvSpPr>
        <xdr:spPr>
          <a:xfrm>
            <a:off x="4733939" y="1495363"/>
            <a:ext cx="83818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8" name="Line 42"/>
          <xdr:cNvSpPr>
            <a:spLocks/>
          </xdr:cNvSpPr>
        </xdr:nvSpPr>
        <xdr:spPr>
          <a:xfrm>
            <a:off x="2733808" y="1657412"/>
            <a:ext cx="61910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9" name="Line 43"/>
          <xdr:cNvSpPr>
            <a:spLocks/>
          </xdr:cNvSpPr>
        </xdr:nvSpPr>
        <xdr:spPr>
          <a:xfrm flipH="1">
            <a:off x="4372046" y="2076417"/>
            <a:ext cx="1046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44"/>
          <xdr:cNvSpPr>
            <a:spLocks/>
          </xdr:cNvSpPr>
        </xdr:nvSpPr>
        <xdr:spPr>
          <a:xfrm flipH="1" flipV="1">
            <a:off x="4277087" y="1981257"/>
            <a:ext cx="94959" cy="9516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1" name="Freeform 45"/>
          <xdr:cNvSpPr>
            <a:spLocks/>
          </xdr:cNvSpPr>
        </xdr:nvSpPr>
        <xdr:spPr>
          <a:xfrm>
            <a:off x="2581275" y="1933551"/>
            <a:ext cx="38133" cy="76229"/>
          </a:xfrm>
          <a:custGeom>
            <a:pathLst>
              <a:path h="8" w="4">
                <a:moveTo>
                  <a:pt x="4" y="0"/>
                </a:moveTo>
                <a:cubicBezTo>
                  <a:pt x="1" y="1"/>
                  <a:pt x="0" y="8"/>
                  <a:pt x="0" y="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6"/>
          <xdr:cNvSpPr>
            <a:spLocks/>
          </xdr:cNvSpPr>
        </xdr:nvSpPr>
        <xdr:spPr>
          <a:xfrm>
            <a:off x="5572125" y="1438318"/>
            <a:ext cx="0" cy="4952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Oval 47"/>
          <xdr:cNvSpPr>
            <a:spLocks/>
          </xdr:cNvSpPr>
        </xdr:nvSpPr>
        <xdr:spPr>
          <a:xfrm>
            <a:off x="3581714" y="1981257"/>
            <a:ext cx="104680" cy="10475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Oval 48"/>
          <xdr:cNvSpPr>
            <a:spLocks/>
          </xdr:cNvSpPr>
        </xdr:nvSpPr>
        <xdr:spPr>
          <a:xfrm>
            <a:off x="3819487" y="1981257"/>
            <a:ext cx="104680" cy="10475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9"/>
          <xdr:cNvSpPr>
            <a:spLocks/>
          </xdr:cNvSpPr>
        </xdr:nvSpPr>
        <xdr:spPr>
          <a:xfrm flipV="1">
            <a:off x="3628820" y="1800277"/>
            <a:ext cx="0" cy="2286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50"/>
          <xdr:cNvSpPr>
            <a:spLocks/>
          </xdr:cNvSpPr>
        </xdr:nvSpPr>
        <xdr:spPr>
          <a:xfrm flipV="1">
            <a:off x="3867341" y="1800277"/>
            <a:ext cx="0" cy="2286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51"/>
          <xdr:cNvSpPr>
            <a:spLocks/>
          </xdr:cNvSpPr>
        </xdr:nvSpPr>
        <xdr:spPr>
          <a:xfrm>
            <a:off x="3752940" y="2038302"/>
            <a:ext cx="0" cy="29532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8" name="Line 52"/>
          <xdr:cNvSpPr>
            <a:spLocks/>
          </xdr:cNvSpPr>
        </xdr:nvSpPr>
        <xdr:spPr>
          <a:xfrm>
            <a:off x="3628820" y="1876506"/>
            <a:ext cx="237773"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9" name="Line 53"/>
          <xdr:cNvSpPr>
            <a:spLocks/>
          </xdr:cNvSpPr>
        </xdr:nvSpPr>
        <xdr:spPr>
          <a:xfrm>
            <a:off x="3686394" y="2038302"/>
            <a:ext cx="1241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AutoShape 54"/>
          <xdr:cNvSpPr>
            <a:spLocks/>
          </xdr:cNvSpPr>
        </xdr:nvSpPr>
        <xdr:spPr>
          <a:xfrm rot="10800000">
            <a:off x="4705526" y="1885845"/>
            <a:ext cx="76267" cy="76229"/>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44"/>
          <xdr:cNvSpPr>
            <a:spLocks/>
          </xdr:cNvSpPr>
        </xdr:nvSpPr>
        <xdr:spPr>
          <a:xfrm flipH="1" flipV="1">
            <a:off x="3972020" y="2057486"/>
            <a:ext cx="486013" cy="18098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143</xdr:row>
      <xdr:rowOff>104775</xdr:rowOff>
    </xdr:from>
    <xdr:to>
      <xdr:col>6</xdr:col>
      <xdr:colOff>257175</xdr:colOff>
      <xdr:row>164</xdr:row>
      <xdr:rowOff>123825</xdr:rowOff>
    </xdr:to>
    <xdr:grpSp>
      <xdr:nvGrpSpPr>
        <xdr:cNvPr id="1" name="Group 5"/>
        <xdr:cNvGrpSpPr>
          <a:grpSpLocks/>
        </xdr:cNvGrpSpPr>
      </xdr:nvGrpSpPr>
      <xdr:grpSpPr>
        <a:xfrm>
          <a:off x="1428750" y="23298150"/>
          <a:ext cx="2695575" cy="3419475"/>
          <a:chOff x="150" y="2446"/>
          <a:chExt cx="283" cy="359"/>
        </a:xfrm>
        <a:solidFill>
          <a:srgbClr val="FFFFFF"/>
        </a:solidFill>
      </xdr:grpSpPr>
      <xdr:pic>
        <xdr:nvPicPr>
          <xdr:cNvPr id="2" name="Picture 6"/>
          <xdr:cNvPicPr preferRelativeResize="1">
            <a:picLocks noChangeAspect="1"/>
          </xdr:cNvPicPr>
        </xdr:nvPicPr>
        <xdr:blipFill>
          <a:blip r:embed="rId1"/>
          <a:srcRect b="2760"/>
          <a:stretch>
            <a:fillRect/>
          </a:stretch>
        </xdr:blipFill>
        <xdr:spPr>
          <a:xfrm>
            <a:off x="150" y="2488"/>
            <a:ext cx="283" cy="317"/>
          </a:xfrm>
          <a:prstGeom prst="rect">
            <a:avLst/>
          </a:prstGeom>
          <a:noFill/>
          <a:ln w="9525" cmpd="sng">
            <a:noFill/>
          </a:ln>
        </xdr:spPr>
      </xdr:pic>
      <xdr:sp>
        <xdr:nvSpPr>
          <xdr:cNvPr id="3" name="Line 7"/>
          <xdr:cNvSpPr>
            <a:spLocks/>
          </xdr:cNvSpPr>
        </xdr:nvSpPr>
        <xdr:spPr>
          <a:xfrm>
            <a:off x="178" y="2484"/>
            <a:ext cx="154"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8"/>
          <xdr:cNvSpPr>
            <a:spLocks/>
          </xdr:cNvSpPr>
        </xdr:nvSpPr>
        <xdr:spPr>
          <a:xfrm>
            <a:off x="178" y="2499"/>
            <a:ext cx="154"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9"/>
          <xdr:cNvSpPr>
            <a:spLocks/>
          </xdr:cNvSpPr>
        </xdr:nvSpPr>
        <xdr:spPr>
          <a:xfrm>
            <a:off x="178" y="2484"/>
            <a:ext cx="0" cy="1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10"/>
          <xdr:cNvSpPr>
            <a:spLocks/>
          </xdr:cNvSpPr>
        </xdr:nvSpPr>
        <xdr:spPr>
          <a:xfrm>
            <a:off x="332" y="2484"/>
            <a:ext cx="0" cy="1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11"/>
          <xdr:cNvPicPr preferRelativeResize="1">
            <a:picLocks noChangeAspect="1"/>
          </xdr:cNvPicPr>
        </xdr:nvPicPr>
        <xdr:blipFill>
          <a:blip r:embed="rId2"/>
          <a:srcRect l="-1695" t="40625"/>
          <a:stretch>
            <a:fillRect/>
          </a:stretch>
        </xdr:blipFill>
        <xdr:spPr>
          <a:xfrm rot="10800000">
            <a:off x="221" y="2494"/>
            <a:ext cx="60" cy="19"/>
          </a:xfrm>
          <a:prstGeom prst="rect">
            <a:avLst/>
          </a:prstGeom>
          <a:noFill/>
          <a:ln w="9525" cmpd="sng">
            <a:noFill/>
          </a:ln>
        </xdr:spPr>
      </xdr:pic>
      <xdr:sp>
        <xdr:nvSpPr>
          <xdr:cNvPr id="8" name="Rectangle 12"/>
          <xdr:cNvSpPr>
            <a:spLocks/>
          </xdr:cNvSpPr>
        </xdr:nvSpPr>
        <xdr:spPr>
          <a:xfrm>
            <a:off x="210" y="2510"/>
            <a:ext cx="23" cy="23"/>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13"/>
          <xdr:cNvPicPr preferRelativeResize="1">
            <a:picLocks noChangeAspect="1"/>
          </xdr:cNvPicPr>
        </xdr:nvPicPr>
        <xdr:blipFill>
          <a:blip r:embed="rId3"/>
          <a:srcRect l="13043"/>
          <a:stretch>
            <a:fillRect/>
          </a:stretch>
        </xdr:blipFill>
        <xdr:spPr>
          <a:xfrm rot="16200000">
            <a:off x="221" y="2494"/>
            <a:ext cx="29" cy="20"/>
          </a:xfrm>
          <a:prstGeom prst="rect">
            <a:avLst/>
          </a:prstGeom>
          <a:noFill/>
          <a:ln w="9525" cmpd="sng">
            <a:noFill/>
          </a:ln>
        </xdr:spPr>
      </xdr:pic>
      <xdr:sp>
        <xdr:nvSpPr>
          <xdr:cNvPr id="10" name="Text Box 14"/>
          <xdr:cNvSpPr txBox="1">
            <a:spLocks noChangeArrowheads="1"/>
          </xdr:cNvSpPr>
        </xdr:nvSpPr>
        <xdr:spPr>
          <a:xfrm>
            <a:off x="290" y="2570"/>
            <a:ext cx="19" cy="18"/>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tw</a:t>
            </a:r>
          </a:p>
        </xdr:txBody>
      </xdr:sp>
      <xdr:sp>
        <xdr:nvSpPr>
          <xdr:cNvPr id="11" name="Text Box 15"/>
          <xdr:cNvSpPr txBox="1">
            <a:spLocks noChangeArrowheads="1"/>
          </xdr:cNvSpPr>
        </xdr:nvSpPr>
        <xdr:spPr>
          <a:xfrm>
            <a:off x="184" y="2599"/>
            <a:ext cx="26" cy="17"/>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Pw</a:t>
            </a:r>
          </a:p>
        </xdr:txBody>
      </xdr:sp>
      <xdr:sp>
        <xdr:nvSpPr>
          <xdr:cNvPr id="12" name="Text Box 16"/>
          <xdr:cNvSpPr txBox="1">
            <a:spLocks noChangeArrowheads="1"/>
          </xdr:cNvSpPr>
        </xdr:nvSpPr>
        <xdr:spPr>
          <a:xfrm>
            <a:off x="304" y="2599"/>
            <a:ext cx="26" cy="17"/>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Pw</a:t>
            </a:r>
          </a:p>
        </xdr:txBody>
      </xdr:sp>
      <xdr:sp>
        <xdr:nvSpPr>
          <xdr:cNvPr id="13" name="Text Box 17"/>
          <xdr:cNvSpPr txBox="1">
            <a:spLocks noChangeArrowheads="1"/>
          </xdr:cNvSpPr>
        </xdr:nvSpPr>
        <xdr:spPr>
          <a:xfrm>
            <a:off x="331" y="2651"/>
            <a:ext cx="64" cy="19"/>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Point 2</a:t>
            </a:r>
          </a:p>
        </xdr:txBody>
      </xdr:sp>
      <xdr:sp>
        <xdr:nvSpPr>
          <xdr:cNvPr id="14" name="Text Box 18"/>
          <xdr:cNvSpPr txBox="1">
            <a:spLocks noChangeArrowheads="1"/>
          </xdr:cNvSpPr>
        </xdr:nvSpPr>
        <xdr:spPr>
          <a:xfrm>
            <a:off x="204" y="2756"/>
            <a:ext cx="49" cy="19"/>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Point 1</a:t>
            </a:r>
          </a:p>
        </xdr:txBody>
      </xdr:sp>
      <xdr:sp>
        <xdr:nvSpPr>
          <xdr:cNvPr id="15" name="Text Box 19"/>
          <xdr:cNvSpPr txBox="1">
            <a:spLocks noChangeArrowheads="1"/>
          </xdr:cNvSpPr>
        </xdr:nvSpPr>
        <xdr:spPr>
          <a:xfrm>
            <a:off x="183" y="2730"/>
            <a:ext cx="49" cy="19"/>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Point 0</a:t>
            </a:r>
          </a:p>
        </xdr:txBody>
      </xdr:sp>
      <xdr:sp>
        <xdr:nvSpPr>
          <xdr:cNvPr id="16" name="Text Box 20"/>
          <xdr:cNvSpPr txBox="1">
            <a:spLocks noChangeArrowheads="1"/>
          </xdr:cNvSpPr>
        </xdr:nvSpPr>
        <xdr:spPr>
          <a:xfrm>
            <a:off x="247" y="2774"/>
            <a:ext cx="39" cy="17"/>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bf</a:t>
            </a:r>
          </a:p>
        </xdr:txBody>
      </xdr:sp>
      <xdr:sp>
        <xdr:nvSpPr>
          <xdr:cNvPr id="17" name="Text Box 21"/>
          <xdr:cNvSpPr txBox="1">
            <a:spLocks noChangeArrowheads="1"/>
          </xdr:cNvSpPr>
        </xdr:nvSpPr>
        <xdr:spPr>
          <a:xfrm>
            <a:off x="392" y="2708"/>
            <a:ext cx="34" cy="4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tf</a:t>
            </a:r>
          </a:p>
        </xdr:txBody>
      </xdr:sp>
      <xdr:sp>
        <xdr:nvSpPr>
          <xdr:cNvPr id="18" name="Rectangle 22"/>
          <xdr:cNvSpPr>
            <a:spLocks/>
          </xdr:cNvSpPr>
        </xdr:nvSpPr>
        <xdr:spPr>
          <a:xfrm>
            <a:off x="248" y="2493"/>
            <a:ext cx="8" cy="23"/>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23"/>
          <xdr:cNvPicPr preferRelativeResize="1">
            <a:picLocks noChangeAspect="1"/>
          </xdr:cNvPicPr>
        </xdr:nvPicPr>
        <xdr:blipFill>
          <a:blip r:embed="rId4"/>
          <a:stretch>
            <a:fillRect/>
          </a:stretch>
        </xdr:blipFill>
        <xdr:spPr>
          <a:xfrm>
            <a:off x="237" y="2513"/>
            <a:ext cx="31" cy="82"/>
          </a:xfrm>
          <a:prstGeom prst="rect">
            <a:avLst/>
          </a:prstGeom>
          <a:noFill/>
          <a:ln w="9525" cmpd="sng">
            <a:noFill/>
          </a:ln>
        </xdr:spPr>
      </xdr:pic>
      <xdr:pic>
        <xdr:nvPicPr>
          <xdr:cNvPr id="20" name="Picture 24"/>
          <xdr:cNvPicPr preferRelativeResize="1">
            <a:picLocks noChangeAspect="1"/>
          </xdr:cNvPicPr>
        </xdr:nvPicPr>
        <xdr:blipFill>
          <a:blip r:embed="rId5"/>
          <a:srcRect r="12820"/>
          <a:stretch>
            <a:fillRect/>
          </a:stretch>
        </xdr:blipFill>
        <xdr:spPr>
          <a:xfrm>
            <a:off x="211" y="2575"/>
            <a:ext cx="34" cy="15"/>
          </a:xfrm>
          <a:prstGeom prst="rect">
            <a:avLst/>
          </a:prstGeom>
          <a:noFill/>
          <a:ln w="9525" cmpd="sng">
            <a:noFill/>
          </a:ln>
        </xdr:spPr>
      </xdr:pic>
      <xdr:pic>
        <xdr:nvPicPr>
          <xdr:cNvPr id="21" name="Picture 25"/>
          <xdr:cNvPicPr preferRelativeResize="1">
            <a:picLocks noChangeAspect="1"/>
          </xdr:cNvPicPr>
        </xdr:nvPicPr>
        <xdr:blipFill>
          <a:blip r:embed="rId6"/>
          <a:srcRect l="11428"/>
          <a:stretch>
            <a:fillRect/>
          </a:stretch>
        </xdr:blipFill>
        <xdr:spPr>
          <a:xfrm>
            <a:off x="261" y="2574"/>
            <a:ext cx="31" cy="12"/>
          </a:xfrm>
          <a:prstGeom prst="rect">
            <a:avLst/>
          </a:prstGeom>
          <a:noFill/>
          <a:ln w="9525" cmpd="sng">
            <a:noFill/>
          </a:ln>
        </xdr:spPr>
      </xdr:pic>
      <xdr:sp>
        <xdr:nvSpPr>
          <xdr:cNvPr id="22" name="Line 26"/>
          <xdr:cNvSpPr>
            <a:spLocks/>
          </xdr:cNvSpPr>
        </xdr:nvSpPr>
        <xdr:spPr>
          <a:xfrm>
            <a:off x="243" y="2515"/>
            <a:ext cx="1" cy="16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Text Box 27"/>
          <xdr:cNvSpPr txBox="1">
            <a:spLocks noChangeArrowheads="1"/>
          </xdr:cNvSpPr>
        </xdr:nvSpPr>
        <xdr:spPr>
          <a:xfrm>
            <a:off x="246" y="2446"/>
            <a:ext cx="14" cy="17"/>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Y</a:t>
            </a:r>
          </a:p>
        </xdr:txBody>
      </xdr:sp>
      <xdr:sp>
        <xdr:nvSpPr>
          <xdr:cNvPr id="24" name="Line 28"/>
          <xdr:cNvSpPr>
            <a:spLocks/>
          </xdr:cNvSpPr>
        </xdr:nvSpPr>
        <xdr:spPr>
          <a:xfrm flipV="1">
            <a:off x="252" y="2466"/>
            <a:ext cx="0" cy="6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Text Box 29"/>
          <xdr:cNvSpPr txBox="1">
            <a:spLocks noChangeArrowheads="1"/>
          </xdr:cNvSpPr>
        </xdr:nvSpPr>
        <xdr:spPr>
          <a:xfrm>
            <a:off x="207" y="2615"/>
            <a:ext cx="17" cy="17"/>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Z</a:t>
            </a:r>
          </a:p>
        </xdr:txBody>
      </xdr:sp>
      <xdr:sp>
        <xdr:nvSpPr>
          <xdr:cNvPr id="26" name="Line 30"/>
          <xdr:cNvSpPr>
            <a:spLocks/>
          </xdr:cNvSpPr>
        </xdr:nvSpPr>
        <xdr:spPr>
          <a:xfrm flipH="1">
            <a:off x="219" y="2599"/>
            <a:ext cx="33" cy="24"/>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27" name="Line 31"/>
          <xdr:cNvSpPr>
            <a:spLocks/>
          </xdr:cNvSpPr>
        </xdr:nvSpPr>
        <xdr:spPr>
          <a:xfrm>
            <a:off x="252" y="2599"/>
            <a:ext cx="31" cy="0"/>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28" name="Text Box 32"/>
          <xdr:cNvSpPr txBox="1">
            <a:spLocks noChangeArrowheads="1"/>
          </xdr:cNvSpPr>
        </xdr:nvSpPr>
        <xdr:spPr>
          <a:xfrm>
            <a:off x="281" y="2590"/>
            <a:ext cx="14" cy="17"/>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X</a:t>
            </a:r>
          </a:p>
        </xdr:txBody>
      </xdr:sp>
    </xdr:grpSp>
    <xdr:clientData/>
  </xdr:twoCellAnchor>
  <xdr:twoCellAnchor>
    <xdr:from>
      <xdr:col>3</xdr:col>
      <xdr:colOff>542925</xdr:colOff>
      <xdr:row>7</xdr:row>
      <xdr:rowOff>152400</xdr:rowOff>
    </xdr:from>
    <xdr:to>
      <xdr:col>8</xdr:col>
      <xdr:colOff>523875</xdr:colOff>
      <xdr:row>14</xdr:row>
      <xdr:rowOff>28575</xdr:rowOff>
    </xdr:to>
    <xdr:grpSp>
      <xdr:nvGrpSpPr>
        <xdr:cNvPr id="29" name="Group 1"/>
        <xdr:cNvGrpSpPr>
          <a:grpSpLocks/>
        </xdr:cNvGrpSpPr>
      </xdr:nvGrpSpPr>
      <xdr:grpSpPr>
        <a:xfrm>
          <a:off x="2581275" y="1323975"/>
          <a:ext cx="2990850" cy="1009650"/>
          <a:chOff x="2581275" y="1323975"/>
          <a:chExt cx="2990850" cy="1009650"/>
        </a:xfrm>
        <a:solidFill>
          <a:srgbClr val="FFFFFF"/>
        </a:solidFill>
      </xdr:grpSpPr>
      <xdr:sp>
        <xdr:nvSpPr>
          <xdr:cNvPr id="30" name="Line 33"/>
          <xdr:cNvSpPr>
            <a:spLocks/>
          </xdr:cNvSpPr>
        </xdr:nvSpPr>
        <xdr:spPr>
          <a:xfrm flipV="1">
            <a:off x="2590995" y="1971665"/>
            <a:ext cx="298113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AutoShape 34"/>
          <xdr:cNvSpPr>
            <a:spLocks/>
          </xdr:cNvSpPr>
        </xdr:nvSpPr>
        <xdr:spPr>
          <a:xfrm rot="10800000">
            <a:off x="2695675" y="1885845"/>
            <a:ext cx="76267" cy="76229"/>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Rectangle 35" descr="Light upward diagonal"/>
          <xdr:cNvSpPr>
            <a:spLocks/>
          </xdr:cNvSpPr>
        </xdr:nvSpPr>
        <xdr:spPr>
          <a:xfrm>
            <a:off x="2647821" y="1800277"/>
            <a:ext cx="180946" cy="76229"/>
          </a:xfrm>
          <a:prstGeom prst="rect">
            <a:avLst/>
          </a:prstGeom>
          <a:pattFill prst="ltUpDiag">
            <a:fgClr>
              <a:srgbClr val="000000"/>
            </a:fgClr>
            <a:bgClr>
              <a:srgbClr val="FFFFFF"/>
            </a:bgClr>
          </a:patt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6"/>
          <xdr:cNvSpPr>
            <a:spLocks/>
          </xdr:cNvSpPr>
        </xdr:nvSpPr>
        <xdr:spPr>
          <a:xfrm>
            <a:off x="2647821" y="1876506"/>
            <a:ext cx="17122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Rectangle 37" descr="Light upward diagonal"/>
          <xdr:cNvSpPr>
            <a:spLocks/>
          </xdr:cNvSpPr>
        </xdr:nvSpPr>
        <xdr:spPr>
          <a:xfrm>
            <a:off x="4647952" y="1800277"/>
            <a:ext cx="180946" cy="76229"/>
          </a:xfrm>
          <a:prstGeom prst="rect">
            <a:avLst/>
          </a:prstGeom>
          <a:pattFill prst="ltUpDiag">
            <a:fgClr>
              <a:srgbClr val="000000"/>
            </a:fgClr>
            <a:bgClr>
              <a:srgbClr val="FFFFFF"/>
            </a:bgClr>
          </a:patt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8"/>
          <xdr:cNvSpPr>
            <a:spLocks/>
          </xdr:cNvSpPr>
        </xdr:nvSpPr>
        <xdr:spPr>
          <a:xfrm>
            <a:off x="4647952" y="1876506"/>
            <a:ext cx="17122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9"/>
          <xdr:cNvSpPr>
            <a:spLocks/>
          </xdr:cNvSpPr>
        </xdr:nvSpPr>
        <xdr:spPr>
          <a:xfrm>
            <a:off x="2733808" y="1323975"/>
            <a:ext cx="0" cy="457119"/>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37" name="Line 40"/>
          <xdr:cNvSpPr>
            <a:spLocks/>
          </xdr:cNvSpPr>
        </xdr:nvSpPr>
        <xdr:spPr>
          <a:xfrm>
            <a:off x="4733939" y="1323975"/>
            <a:ext cx="0" cy="457119"/>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38" name="Line 41"/>
          <xdr:cNvSpPr>
            <a:spLocks/>
          </xdr:cNvSpPr>
        </xdr:nvSpPr>
        <xdr:spPr>
          <a:xfrm>
            <a:off x="2733808" y="1495363"/>
            <a:ext cx="200013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9" name="Line 42"/>
          <xdr:cNvSpPr>
            <a:spLocks/>
          </xdr:cNvSpPr>
        </xdr:nvSpPr>
        <xdr:spPr>
          <a:xfrm>
            <a:off x="4733939" y="1495363"/>
            <a:ext cx="83818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0" name="Line 43"/>
          <xdr:cNvSpPr>
            <a:spLocks/>
          </xdr:cNvSpPr>
        </xdr:nvSpPr>
        <xdr:spPr>
          <a:xfrm>
            <a:off x="2733808" y="1657412"/>
            <a:ext cx="61910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1" name="Line 44"/>
          <xdr:cNvSpPr>
            <a:spLocks/>
          </xdr:cNvSpPr>
        </xdr:nvSpPr>
        <xdr:spPr>
          <a:xfrm flipH="1">
            <a:off x="4372046" y="2076417"/>
            <a:ext cx="1046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5"/>
          <xdr:cNvSpPr>
            <a:spLocks/>
          </xdr:cNvSpPr>
        </xdr:nvSpPr>
        <xdr:spPr>
          <a:xfrm flipH="1" flipV="1">
            <a:off x="4277087" y="1981257"/>
            <a:ext cx="94959" cy="9516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3" name="Freeform 46"/>
          <xdr:cNvSpPr>
            <a:spLocks/>
          </xdr:cNvSpPr>
        </xdr:nvSpPr>
        <xdr:spPr>
          <a:xfrm>
            <a:off x="2581275" y="1933551"/>
            <a:ext cx="38133" cy="76229"/>
          </a:xfrm>
          <a:custGeom>
            <a:pathLst>
              <a:path h="8" w="4">
                <a:moveTo>
                  <a:pt x="4" y="0"/>
                </a:moveTo>
                <a:cubicBezTo>
                  <a:pt x="1" y="1"/>
                  <a:pt x="0" y="8"/>
                  <a:pt x="0" y="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7"/>
          <xdr:cNvSpPr>
            <a:spLocks/>
          </xdr:cNvSpPr>
        </xdr:nvSpPr>
        <xdr:spPr>
          <a:xfrm>
            <a:off x="5572125" y="1438318"/>
            <a:ext cx="0" cy="4952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Oval 48"/>
          <xdr:cNvSpPr>
            <a:spLocks/>
          </xdr:cNvSpPr>
        </xdr:nvSpPr>
        <xdr:spPr>
          <a:xfrm>
            <a:off x="3581714" y="1981257"/>
            <a:ext cx="104680" cy="10475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Oval 49"/>
          <xdr:cNvSpPr>
            <a:spLocks/>
          </xdr:cNvSpPr>
        </xdr:nvSpPr>
        <xdr:spPr>
          <a:xfrm>
            <a:off x="3819487" y="1981257"/>
            <a:ext cx="104680" cy="10475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50"/>
          <xdr:cNvSpPr>
            <a:spLocks/>
          </xdr:cNvSpPr>
        </xdr:nvSpPr>
        <xdr:spPr>
          <a:xfrm flipV="1">
            <a:off x="3628820" y="1800277"/>
            <a:ext cx="0" cy="2286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51"/>
          <xdr:cNvSpPr>
            <a:spLocks/>
          </xdr:cNvSpPr>
        </xdr:nvSpPr>
        <xdr:spPr>
          <a:xfrm flipV="1">
            <a:off x="3867341" y="1800277"/>
            <a:ext cx="0" cy="2286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52"/>
          <xdr:cNvSpPr>
            <a:spLocks/>
          </xdr:cNvSpPr>
        </xdr:nvSpPr>
        <xdr:spPr>
          <a:xfrm>
            <a:off x="3752940" y="2038302"/>
            <a:ext cx="0" cy="29532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0" name="Line 53"/>
          <xdr:cNvSpPr>
            <a:spLocks/>
          </xdr:cNvSpPr>
        </xdr:nvSpPr>
        <xdr:spPr>
          <a:xfrm>
            <a:off x="3628820" y="1876506"/>
            <a:ext cx="237773"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51" name="Line 54"/>
          <xdr:cNvSpPr>
            <a:spLocks/>
          </xdr:cNvSpPr>
        </xdr:nvSpPr>
        <xdr:spPr>
          <a:xfrm>
            <a:off x="3686394" y="2038302"/>
            <a:ext cx="1241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AutoShape 55"/>
          <xdr:cNvSpPr>
            <a:spLocks/>
          </xdr:cNvSpPr>
        </xdr:nvSpPr>
        <xdr:spPr>
          <a:xfrm rot="10800000">
            <a:off x="4705526" y="1885845"/>
            <a:ext cx="76267" cy="76229"/>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44"/>
          <xdr:cNvSpPr>
            <a:spLocks/>
          </xdr:cNvSpPr>
        </xdr:nvSpPr>
        <xdr:spPr>
          <a:xfrm flipH="1" flipV="1">
            <a:off x="3972020" y="2057486"/>
            <a:ext cx="486013" cy="18098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57"/>
  <sheetViews>
    <sheetView tabSelected="1" zoomScalePageLayoutView="0" workbookViewId="0" topLeftCell="A1">
      <selection activeCell="A55" sqref="A55"/>
    </sheetView>
  </sheetViews>
  <sheetFormatPr defaultColWidth="9.140625" defaultRowHeight="12.75"/>
  <cols>
    <col min="1" max="11" width="9.140625" style="232" customWidth="1"/>
    <col min="12" max="16384" width="9.140625" style="2" customWidth="1"/>
  </cols>
  <sheetData>
    <row r="1" spans="1:10" ht="15.75">
      <c r="A1" s="230" t="s">
        <v>296</v>
      </c>
      <c r="B1" s="231"/>
      <c r="C1" s="231"/>
      <c r="D1" s="231"/>
      <c r="E1" s="231"/>
      <c r="F1" s="231"/>
      <c r="G1" s="231"/>
      <c r="H1" s="231"/>
      <c r="I1" s="231"/>
      <c r="J1" s="231"/>
    </row>
    <row r="3" ht="12.75">
      <c r="A3" s="233" t="s">
        <v>287</v>
      </c>
    </row>
    <row r="5" ht="12.75">
      <c r="A5" s="232" t="s">
        <v>872</v>
      </c>
    </row>
    <row r="6" ht="12.75">
      <c r="A6" s="232" t="s">
        <v>873</v>
      </c>
    </row>
    <row r="7" ht="12.75">
      <c r="A7" s="232" t="s">
        <v>874</v>
      </c>
    </row>
    <row r="8" ht="12.75">
      <c r="A8" s="232" t="s">
        <v>876</v>
      </c>
    </row>
    <row r="9" ht="12.75">
      <c r="A9" s="232" t="s">
        <v>875</v>
      </c>
    </row>
    <row r="11" ht="12.75">
      <c r="A11" s="232" t="s">
        <v>871</v>
      </c>
    </row>
    <row r="13" spans="1:10" ht="12.75">
      <c r="A13" s="255" t="s">
        <v>288</v>
      </c>
      <c r="B13" s="256"/>
      <c r="C13" s="257"/>
      <c r="D13" s="255" t="s">
        <v>289</v>
      </c>
      <c r="E13" s="261"/>
      <c r="F13" s="261"/>
      <c r="G13" s="261"/>
      <c r="H13" s="261"/>
      <c r="I13" s="261"/>
      <c r="J13" s="262"/>
    </row>
    <row r="14" spans="1:10" ht="12.75">
      <c r="A14" s="234" t="s">
        <v>290</v>
      </c>
      <c r="B14" s="235"/>
      <c r="C14" s="235"/>
      <c r="D14" s="234" t="s">
        <v>291</v>
      </c>
      <c r="E14" s="235"/>
      <c r="F14" s="235"/>
      <c r="G14" s="235"/>
      <c r="H14" s="235"/>
      <c r="I14" s="235"/>
      <c r="J14" s="236"/>
    </row>
    <row r="15" spans="1:10" ht="12.75">
      <c r="A15" s="259" t="s">
        <v>297</v>
      </c>
      <c r="B15" s="258"/>
      <c r="C15" s="258"/>
      <c r="D15" s="259" t="s">
        <v>298</v>
      </c>
      <c r="E15" s="258"/>
      <c r="F15" s="258"/>
      <c r="G15" s="258"/>
      <c r="H15" s="258"/>
      <c r="I15" s="258"/>
      <c r="J15" s="260"/>
    </row>
    <row r="16" spans="1:10" ht="12.75">
      <c r="A16" s="237" t="s">
        <v>869</v>
      </c>
      <c r="B16" s="238"/>
      <c r="C16" s="238"/>
      <c r="D16" s="237" t="s">
        <v>870</v>
      </c>
      <c r="E16" s="238"/>
      <c r="F16" s="238"/>
      <c r="G16" s="238"/>
      <c r="H16" s="238"/>
      <c r="I16" s="238"/>
      <c r="J16" s="239"/>
    </row>
    <row r="17" spans="12:21" ht="12.75">
      <c r="L17" s="240"/>
      <c r="M17" s="240"/>
      <c r="N17" s="240"/>
      <c r="O17" s="240"/>
      <c r="P17" s="240"/>
      <c r="Q17" s="240"/>
      <c r="R17" s="240"/>
      <c r="S17" s="240"/>
      <c r="T17" s="240"/>
      <c r="U17" s="240"/>
    </row>
    <row r="18" ht="12.75">
      <c r="A18" s="233" t="s">
        <v>292</v>
      </c>
    </row>
    <row r="19" ht="12.75" customHeight="1"/>
    <row r="20" ht="12.75">
      <c r="A20" s="232" t="s">
        <v>884</v>
      </c>
    </row>
    <row r="21" spans="1:2" ht="12.75">
      <c r="A21" s="242" t="s">
        <v>878</v>
      </c>
      <c r="B21" s="263" t="s">
        <v>879</v>
      </c>
    </row>
    <row r="22" spans="1:2" ht="12.75">
      <c r="A22" s="242" t="s">
        <v>880</v>
      </c>
      <c r="B22" s="263" t="s">
        <v>886</v>
      </c>
    </row>
    <row r="23" spans="1:2" ht="12.75">
      <c r="A23" s="264" t="s">
        <v>881</v>
      </c>
      <c r="B23" s="232" t="s">
        <v>882</v>
      </c>
    </row>
    <row r="24" spans="1:2" ht="12.75">
      <c r="A24" s="264" t="s">
        <v>883</v>
      </c>
      <c r="B24" s="232" t="s">
        <v>885</v>
      </c>
    </row>
    <row r="25" spans="1:2" ht="12.75">
      <c r="A25" s="242" t="s">
        <v>891</v>
      </c>
      <c r="B25" s="232" t="s">
        <v>904</v>
      </c>
    </row>
    <row r="26" ht="12.75">
      <c r="B26" s="241" t="s">
        <v>905</v>
      </c>
    </row>
    <row r="27" spans="1:12" ht="12.75">
      <c r="A27" s="242" t="s">
        <v>892</v>
      </c>
      <c r="B27" s="232" t="s">
        <v>895</v>
      </c>
      <c r="L27" s="232"/>
    </row>
    <row r="28" spans="2:12" ht="12.75">
      <c r="B28" s="232" t="s">
        <v>893</v>
      </c>
      <c r="L28" s="232"/>
    </row>
    <row r="29" ht="12.75">
      <c r="B29" s="232" t="s">
        <v>894</v>
      </c>
    </row>
    <row r="30" spans="1:2" ht="12.75">
      <c r="A30" s="242" t="s">
        <v>896</v>
      </c>
      <c r="B30" s="232" t="s">
        <v>900</v>
      </c>
    </row>
    <row r="31" spans="1:2" ht="12.75">
      <c r="A31" s="242" t="s">
        <v>897</v>
      </c>
      <c r="B31" s="232" t="s">
        <v>953</v>
      </c>
    </row>
    <row r="32" spans="1:2" ht="12.75">
      <c r="A32" s="242" t="s">
        <v>898</v>
      </c>
      <c r="B32" s="232" t="s">
        <v>921</v>
      </c>
    </row>
    <row r="33" spans="1:10" ht="12.75">
      <c r="A33" s="242" t="s">
        <v>920</v>
      </c>
      <c r="B33" s="232" t="s">
        <v>899</v>
      </c>
      <c r="G33" s="241"/>
      <c r="H33" s="241"/>
      <c r="I33" s="241"/>
      <c r="J33" s="241"/>
    </row>
    <row r="34" spans="1:10" ht="12.75">
      <c r="A34" s="242"/>
      <c r="B34" s="232" t="s">
        <v>901</v>
      </c>
      <c r="G34" s="241"/>
      <c r="H34" s="241"/>
      <c r="I34" s="241"/>
      <c r="J34" s="241"/>
    </row>
    <row r="35" spans="1:10" ht="12.75">
      <c r="A35" s="242" t="s">
        <v>952</v>
      </c>
      <c r="B35" s="232" t="s">
        <v>903</v>
      </c>
      <c r="E35" s="241"/>
      <c r="F35" s="241"/>
      <c r="G35" s="241"/>
      <c r="H35" s="241"/>
      <c r="I35" s="241"/>
      <c r="J35" s="241"/>
    </row>
    <row r="36" spans="1:10" ht="12.75">
      <c r="A36" s="242"/>
      <c r="B36" s="232" t="s">
        <v>902</v>
      </c>
      <c r="E36" s="241"/>
      <c r="F36" s="241"/>
      <c r="G36" s="241"/>
      <c r="H36" s="241"/>
      <c r="I36" s="241"/>
      <c r="J36" s="241"/>
    </row>
    <row r="37" spans="1:10" ht="12.75">
      <c r="A37" s="232" t="s">
        <v>956</v>
      </c>
      <c r="E37" s="241"/>
      <c r="F37" s="241"/>
      <c r="G37" s="241"/>
      <c r="H37" s="241"/>
      <c r="I37" s="241"/>
      <c r="J37" s="241"/>
    </row>
    <row r="38" spans="1:10" ht="12.75">
      <c r="A38" s="241" t="s">
        <v>890</v>
      </c>
      <c r="E38" s="241"/>
      <c r="F38" s="241"/>
      <c r="G38" s="241"/>
      <c r="H38" s="241"/>
      <c r="I38" s="241"/>
      <c r="J38" s="241"/>
    </row>
    <row r="39" spans="1:2" ht="12.75">
      <c r="A39" s="242" t="s">
        <v>878</v>
      </c>
      <c r="B39" s="263" t="s">
        <v>887</v>
      </c>
    </row>
    <row r="40" spans="1:4" ht="12.75">
      <c r="A40" s="242" t="s">
        <v>880</v>
      </c>
      <c r="B40" s="263" t="s">
        <v>888</v>
      </c>
      <c r="D40" s="241"/>
    </row>
    <row r="41" spans="1:4" ht="12.75">
      <c r="A41" s="264" t="s">
        <v>881</v>
      </c>
      <c r="B41" s="232" t="s">
        <v>889</v>
      </c>
      <c r="D41" s="241"/>
    </row>
    <row r="42" spans="1:4" ht="12.75">
      <c r="A42" s="264" t="s">
        <v>883</v>
      </c>
      <c r="B42" s="232" t="s">
        <v>954</v>
      </c>
      <c r="C42" s="241"/>
      <c r="D42" s="241"/>
    </row>
    <row r="43" ht="12.75">
      <c r="B43" s="296" t="s">
        <v>955</v>
      </c>
    </row>
    <row r="44" spans="1:2" ht="12.75">
      <c r="A44" s="242" t="s">
        <v>891</v>
      </c>
      <c r="B44" s="232" t="s">
        <v>926</v>
      </c>
    </row>
    <row r="45" spans="1:10" ht="12.75">
      <c r="A45" s="232" t="s">
        <v>922</v>
      </c>
      <c r="D45" s="241"/>
      <c r="E45" s="241"/>
      <c r="F45" s="241"/>
      <c r="G45" s="241"/>
      <c r="H45" s="241"/>
      <c r="I45" s="241"/>
      <c r="J45" s="241"/>
    </row>
    <row r="46" spans="1:10" ht="12.75">
      <c r="A46" s="232" t="s">
        <v>925</v>
      </c>
      <c r="D46" s="241"/>
      <c r="E46" s="241"/>
      <c r="F46" s="241"/>
      <c r="G46" s="241"/>
      <c r="H46" s="241"/>
      <c r="I46" s="241"/>
      <c r="J46" s="241"/>
    </row>
    <row r="47" spans="1:10" ht="12.75">
      <c r="A47" s="232" t="s">
        <v>923</v>
      </c>
      <c r="B47" s="241"/>
      <c r="C47" s="241"/>
      <c r="D47" s="241"/>
      <c r="E47" s="241"/>
      <c r="F47" s="241"/>
      <c r="G47" s="241"/>
      <c r="H47" s="241"/>
      <c r="I47" s="241"/>
      <c r="J47" s="241"/>
    </row>
    <row r="48" spans="1:10" ht="12.75">
      <c r="A48" s="232" t="s">
        <v>924</v>
      </c>
      <c r="C48" s="268"/>
      <c r="D48" s="268"/>
      <c r="E48" s="268"/>
      <c r="F48" s="241"/>
      <c r="G48" s="241"/>
      <c r="H48" s="241"/>
      <c r="I48" s="241"/>
      <c r="J48" s="241"/>
    </row>
    <row r="49" ht="12.75">
      <c r="A49" s="232" t="s">
        <v>911</v>
      </c>
    </row>
    <row r="50" ht="12.75">
      <c r="A50" s="232" t="s">
        <v>912</v>
      </c>
    </row>
    <row r="51" ht="12.75">
      <c r="A51" s="232" t="s">
        <v>910</v>
      </c>
    </row>
    <row r="52" ht="12.75">
      <c r="A52" s="232" t="s">
        <v>293</v>
      </c>
    </row>
    <row r="53" ht="12.75">
      <c r="A53" s="232" t="s">
        <v>294</v>
      </c>
    </row>
    <row r="54" ht="12.75">
      <c r="A54" s="232" t="s">
        <v>295</v>
      </c>
    </row>
    <row r="55" spans="3:5" ht="12.75">
      <c r="C55" s="265"/>
      <c r="D55" s="241"/>
      <c r="E55" s="266"/>
    </row>
    <row r="56" spans="3:5" ht="12.75">
      <c r="C56" s="265"/>
      <c r="E56" s="267"/>
    </row>
    <row r="57" spans="3:5" ht="12.75">
      <c r="C57" s="265"/>
      <c r="E57" s="267"/>
    </row>
  </sheetData>
  <sheetProtection sheet="1" objects="1" scenarios="1"/>
  <printOptions/>
  <pageMargins left="1" right="0.5" top="1" bottom="1" header="0.5" footer="0.5"/>
  <pageSetup horizontalDpi="600" verticalDpi="600" orientation="portrait" scale="94" r:id="rId1"/>
  <rowBreaks count="1" manualBreakCount="1">
    <brk id="54" max="9"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BG379"/>
  <sheetViews>
    <sheetView workbookViewId="0" topLeftCell="A1">
      <selection activeCell="A1" sqref="A1"/>
    </sheetView>
  </sheetViews>
  <sheetFormatPr defaultColWidth="9.140625" defaultRowHeight="12.75"/>
  <cols>
    <col min="1" max="1" width="12.28125" style="2" customWidth="1"/>
    <col min="2" max="7" width="9.140625" style="2" customWidth="1"/>
    <col min="8" max="8" width="8.57421875" style="2" customWidth="1"/>
    <col min="9" max="9" width="9.140625" style="2" customWidth="1"/>
    <col min="10" max="10" width="8.421875" style="81" customWidth="1"/>
    <col min="11" max="15" width="9.140625" style="62" hidden="1" customWidth="1"/>
    <col min="16" max="16" width="10.7109375" style="154" hidden="1" customWidth="1"/>
    <col min="17" max="23" width="9.140625" style="62" hidden="1" customWidth="1"/>
    <col min="24" max="24" width="14.421875" style="62" hidden="1" customWidth="1"/>
    <col min="25" max="33" width="9.140625" style="62" hidden="1" customWidth="1"/>
    <col min="34" max="34" width="9.140625" style="43" hidden="1" customWidth="1"/>
    <col min="35" max="35" width="9.140625" style="29" hidden="1" customWidth="1"/>
    <col min="36" max="43" width="9.140625" style="43" hidden="1" customWidth="1"/>
    <col min="44" max="48" width="9.140625" style="2" hidden="1" customWidth="1"/>
    <col min="49" max="49" width="9.140625" style="72" hidden="1" customWidth="1"/>
    <col min="50" max="52" width="9.140625" style="2" hidden="1" customWidth="1"/>
    <col min="53" max="57" width="9.140625" style="2" customWidth="1"/>
    <col min="58" max="59" width="11.7109375" style="2" customWidth="1"/>
    <col min="60" max="16384" width="9.140625" style="2" customWidth="1"/>
  </cols>
  <sheetData>
    <row r="1" spans="1:53" ht="15.75">
      <c r="A1" s="305" t="s">
        <v>72</v>
      </c>
      <c r="B1" s="52"/>
      <c r="C1" s="53"/>
      <c r="D1" s="53"/>
      <c r="E1" s="53"/>
      <c r="F1" s="53"/>
      <c r="G1" s="52"/>
      <c r="H1" s="52"/>
      <c r="I1" s="52"/>
      <c r="J1" s="61"/>
      <c r="L1" s="63"/>
      <c r="N1" s="108" t="s">
        <v>95</v>
      </c>
      <c r="O1" s="109"/>
      <c r="P1" s="110"/>
      <c r="R1" s="64"/>
      <c r="AH1" s="29"/>
      <c r="BA1" s="193" t="s">
        <v>980</v>
      </c>
    </row>
    <row r="2" spans="1:36" ht="12.75">
      <c r="A2" s="54" t="s">
        <v>209</v>
      </c>
      <c r="B2" s="55"/>
      <c r="C2" s="56"/>
      <c r="D2" s="55"/>
      <c r="E2" s="55"/>
      <c r="F2" s="55"/>
      <c r="G2" s="57"/>
      <c r="H2" s="57"/>
      <c r="I2" s="57"/>
      <c r="J2" s="65"/>
      <c r="L2" s="63"/>
      <c r="M2" s="78"/>
      <c r="N2" s="122"/>
      <c r="O2" s="122"/>
      <c r="P2" s="112"/>
      <c r="Q2" s="78"/>
      <c r="R2" s="78"/>
      <c r="S2" s="78"/>
      <c r="T2" s="78"/>
      <c r="AI2" s="30"/>
      <c r="AJ2" s="30"/>
    </row>
    <row r="3" spans="1:51" ht="12.75">
      <c r="A3" s="58" t="s">
        <v>152</v>
      </c>
      <c r="B3" s="59"/>
      <c r="C3" s="59"/>
      <c r="D3" s="59"/>
      <c r="E3" s="59"/>
      <c r="F3" s="59"/>
      <c r="G3" s="60"/>
      <c r="H3" s="60"/>
      <c r="I3" s="60"/>
      <c r="J3" s="66"/>
      <c r="L3" s="72">
        <v>33</v>
      </c>
      <c r="M3" s="111"/>
      <c r="N3" s="108" t="s">
        <v>82</v>
      </c>
      <c r="AH3" s="3" t="s">
        <v>131</v>
      </c>
      <c r="AI3" s="4"/>
      <c r="AJ3" s="4"/>
      <c r="AK3" s="4"/>
      <c r="AL3" s="4"/>
      <c r="AM3" s="4"/>
      <c r="AN3" s="4"/>
      <c r="AO3" s="4"/>
      <c r="AP3" s="4"/>
      <c r="AQ3" s="4"/>
      <c r="AR3" s="4"/>
      <c r="AS3" s="4"/>
      <c r="AT3" s="4"/>
      <c r="AU3" s="4"/>
      <c r="AV3" s="4"/>
      <c r="AW3" s="151"/>
      <c r="AX3" s="152"/>
      <c r="AY3" s="125"/>
    </row>
    <row r="4" spans="1:57" ht="12.75">
      <c r="A4" s="31" t="s">
        <v>74</v>
      </c>
      <c r="B4" s="32"/>
      <c r="C4" s="33"/>
      <c r="D4" s="33"/>
      <c r="E4" s="33"/>
      <c r="F4" s="34" t="s">
        <v>75</v>
      </c>
      <c r="G4" s="35"/>
      <c r="H4" s="36"/>
      <c r="I4" s="36"/>
      <c r="J4" s="37"/>
      <c r="L4" s="72">
        <v>36</v>
      </c>
      <c r="M4" s="111"/>
      <c r="N4" s="136" t="s">
        <v>94</v>
      </c>
      <c r="O4" s="297">
        <f>VLOOKUP($C$10,$AH$5:$AY$35,18,FALSE)</f>
        <v>50</v>
      </c>
      <c r="P4" s="111" t="s">
        <v>93</v>
      </c>
      <c r="Q4" s="78" t="s">
        <v>951</v>
      </c>
      <c r="U4" s="67"/>
      <c r="AH4" s="5" t="s">
        <v>27</v>
      </c>
      <c r="AI4" s="9" t="s">
        <v>28</v>
      </c>
      <c r="AJ4" s="9" t="s">
        <v>29</v>
      </c>
      <c r="AK4" s="9" t="s">
        <v>30</v>
      </c>
      <c r="AL4" s="9" t="s">
        <v>31</v>
      </c>
      <c r="AM4" s="9" t="s">
        <v>32</v>
      </c>
      <c r="AN4" s="9" t="s">
        <v>198</v>
      </c>
      <c r="AO4" s="9" t="s">
        <v>33</v>
      </c>
      <c r="AP4" s="9" t="s">
        <v>34</v>
      </c>
      <c r="AQ4" s="9" t="s">
        <v>35</v>
      </c>
      <c r="AR4" s="9" t="s">
        <v>36</v>
      </c>
      <c r="AS4" s="9" t="s">
        <v>37</v>
      </c>
      <c r="AT4" s="9" t="s">
        <v>38</v>
      </c>
      <c r="AU4" s="9" t="s">
        <v>39</v>
      </c>
      <c r="AV4" s="9" t="s">
        <v>40</v>
      </c>
      <c r="AW4" s="124" t="s">
        <v>153</v>
      </c>
      <c r="AX4" s="124" t="s">
        <v>154</v>
      </c>
      <c r="AY4" s="124" t="s">
        <v>130</v>
      </c>
      <c r="BA4" s="194" t="s">
        <v>222</v>
      </c>
      <c r="BB4" s="78"/>
      <c r="BC4" s="78"/>
      <c r="BD4" s="78"/>
      <c r="BE4" s="63"/>
    </row>
    <row r="5" spans="1:57" ht="12.75">
      <c r="A5" s="31" t="s">
        <v>76</v>
      </c>
      <c r="B5" s="38"/>
      <c r="C5" s="39"/>
      <c r="D5" s="39"/>
      <c r="E5" s="39"/>
      <c r="F5" s="40" t="s">
        <v>77</v>
      </c>
      <c r="G5" s="35"/>
      <c r="H5" s="41"/>
      <c r="I5" s="42" t="s">
        <v>78</v>
      </c>
      <c r="J5" s="37"/>
      <c r="L5" s="72">
        <v>50</v>
      </c>
      <c r="M5" s="111"/>
      <c r="N5" s="136" t="s">
        <v>132</v>
      </c>
      <c r="O5" s="73">
        <f>$C$19*(1+$C$22/100)+$C$20+$C$21</f>
        <v>7.3999999999999995</v>
      </c>
      <c r="P5" s="155" t="s">
        <v>7</v>
      </c>
      <c r="Q5" s="111" t="s">
        <v>286</v>
      </c>
      <c r="R5" s="78"/>
      <c r="S5" s="78"/>
      <c r="T5" s="78"/>
      <c r="U5" s="72"/>
      <c r="AH5" s="10" t="s">
        <v>71</v>
      </c>
      <c r="AI5" s="20">
        <v>35.5</v>
      </c>
      <c r="AJ5" s="21">
        <v>24.5</v>
      </c>
      <c r="AK5" s="21">
        <v>0.8</v>
      </c>
      <c r="AL5" s="21">
        <v>8.05</v>
      </c>
      <c r="AM5" s="21">
        <v>1.09</v>
      </c>
      <c r="AN5" s="21">
        <v>2</v>
      </c>
      <c r="AO5" s="11">
        <v>1.86</v>
      </c>
      <c r="AP5" s="11">
        <v>2.79</v>
      </c>
      <c r="AQ5" s="21">
        <v>3160</v>
      </c>
      <c r="AR5" s="21">
        <v>258</v>
      </c>
      <c r="AS5" s="21">
        <v>9.43</v>
      </c>
      <c r="AT5" s="21">
        <v>83</v>
      </c>
      <c r="AU5" s="21">
        <v>20.6</v>
      </c>
      <c r="AV5" s="21">
        <v>1.53</v>
      </c>
      <c r="AW5" s="212">
        <v>12.8</v>
      </c>
      <c r="AX5" s="212">
        <v>11400</v>
      </c>
      <c r="AY5" s="128">
        <v>121</v>
      </c>
      <c r="BA5" s="195" t="s">
        <v>223</v>
      </c>
      <c r="BB5" s="196" t="s">
        <v>11</v>
      </c>
      <c r="BC5" s="78"/>
      <c r="BD5" s="78"/>
      <c r="BE5" s="197" t="s">
        <v>224</v>
      </c>
    </row>
    <row r="6" spans="1:57" ht="12.75">
      <c r="A6" s="103"/>
      <c r="B6" s="87"/>
      <c r="C6" s="87"/>
      <c r="D6" s="87"/>
      <c r="E6" s="87"/>
      <c r="F6" s="87"/>
      <c r="G6" s="87"/>
      <c r="H6" s="87"/>
      <c r="I6" s="88"/>
      <c r="J6" s="89"/>
      <c r="L6" s="72">
        <v>2</v>
      </c>
      <c r="M6" s="111"/>
      <c r="N6" s="136" t="s">
        <v>234</v>
      </c>
      <c r="O6" s="73">
        <f>$O$5/$C$24</f>
        <v>1.8499999999999999</v>
      </c>
      <c r="P6" s="155" t="s">
        <v>12</v>
      </c>
      <c r="Q6" s="137" t="s">
        <v>235</v>
      </c>
      <c r="R6" s="78"/>
      <c r="S6" s="78"/>
      <c r="T6" s="78"/>
      <c r="U6" s="1"/>
      <c r="AH6" s="12" t="s">
        <v>70</v>
      </c>
      <c r="AI6" s="22">
        <v>31.1</v>
      </c>
      <c r="AJ6" s="23">
        <v>24.5</v>
      </c>
      <c r="AK6" s="23">
        <v>0.62</v>
      </c>
      <c r="AL6" s="23">
        <v>7.87</v>
      </c>
      <c r="AM6" s="23">
        <v>1.09</v>
      </c>
      <c r="AN6" s="23">
        <v>2</v>
      </c>
      <c r="AO6" s="14">
        <v>1.86</v>
      </c>
      <c r="AP6" s="14">
        <v>2.86</v>
      </c>
      <c r="AQ6" s="23">
        <v>2940</v>
      </c>
      <c r="AR6" s="23">
        <v>240</v>
      </c>
      <c r="AS6" s="23">
        <v>9.71</v>
      </c>
      <c r="AT6" s="23">
        <v>76.8</v>
      </c>
      <c r="AU6" s="23">
        <v>19.5</v>
      </c>
      <c r="AV6" s="23">
        <v>1.57</v>
      </c>
      <c r="AW6" s="212">
        <v>10.1</v>
      </c>
      <c r="AX6" s="212">
        <v>10500</v>
      </c>
      <c r="AY6" s="126">
        <v>106</v>
      </c>
      <c r="BA6" s="198" t="s">
        <v>226</v>
      </c>
      <c r="BB6" s="78"/>
      <c r="BC6" s="78"/>
      <c r="BD6" s="78"/>
      <c r="BE6" s="199"/>
    </row>
    <row r="7" spans="1:57" ht="12.75">
      <c r="A7" s="82" t="s">
        <v>10</v>
      </c>
      <c r="B7" s="92"/>
      <c r="C7" s="93"/>
      <c r="D7" s="94"/>
      <c r="E7" s="93"/>
      <c r="F7" s="92"/>
      <c r="G7" s="92"/>
      <c r="H7" s="92"/>
      <c r="I7" s="92"/>
      <c r="J7" s="89"/>
      <c r="L7" s="72">
        <v>4</v>
      </c>
      <c r="M7" s="111"/>
      <c r="N7" s="136" t="s">
        <v>133</v>
      </c>
      <c r="O7" s="73">
        <f>$C$23/100*$C$19</f>
        <v>0.6000000000000001</v>
      </c>
      <c r="P7" s="155" t="s">
        <v>7</v>
      </c>
      <c r="Q7" s="78" t="s">
        <v>213</v>
      </c>
      <c r="R7" s="78"/>
      <c r="S7" s="78"/>
      <c r="T7" s="78"/>
      <c r="U7" s="1"/>
      <c r="AH7" s="12" t="s">
        <v>69</v>
      </c>
      <c r="AI7" s="22">
        <v>29.3</v>
      </c>
      <c r="AJ7" s="23">
        <v>24</v>
      </c>
      <c r="AK7" s="23">
        <v>0.745</v>
      </c>
      <c r="AL7" s="23">
        <v>7.25</v>
      </c>
      <c r="AM7" s="23">
        <v>0.87</v>
      </c>
      <c r="AN7" s="23">
        <v>1.75</v>
      </c>
      <c r="AO7" s="14">
        <v>1.59</v>
      </c>
      <c r="AP7" s="14">
        <v>3.81</v>
      </c>
      <c r="AQ7" s="23">
        <v>2380</v>
      </c>
      <c r="AR7" s="23">
        <v>199</v>
      </c>
      <c r="AS7" s="23">
        <v>9.01</v>
      </c>
      <c r="AT7" s="23">
        <v>47.4</v>
      </c>
      <c r="AU7" s="23">
        <v>13.1</v>
      </c>
      <c r="AV7" s="23">
        <v>1.27</v>
      </c>
      <c r="AW7" s="212">
        <v>7.59</v>
      </c>
      <c r="AX7" s="212">
        <v>6340</v>
      </c>
      <c r="AY7" s="126">
        <v>100</v>
      </c>
      <c r="BA7" s="200">
        <v>54</v>
      </c>
      <c r="BB7" s="207" t="str">
        <f>IF($B$52&lt;=$B$54,"fbx &lt;= Fbx,  O.K.","fbx &gt; Fbx")</f>
        <v>fbx &lt;= Fbx,  O.K.</v>
      </c>
      <c r="BC7" s="78"/>
      <c r="BD7" s="78"/>
      <c r="BE7" s="199">
        <f>$B$52/$B$54</f>
        <v>0.42675565927618575</v>
      </c>
    </row>
    <row r="8" spans="1:57" ht="12.75">
      <c r="A8" s="83"/>
      <c r="B8" s="92"/>
      <c r="C8" s="92"/>
      <c r="D8" s="92"/>
      <c r="E8" s="182" t="str">
        <f>"RL(min)="&amp;ROUND(IF($C$16=0,$O$21,$O$24),2)&amp;" k"</f>
        <v>RL(min)=-0.73 k</v>
      </c>
      <c r="F8" s="64"/>
      <c r="G8" s="64"/>
      <c r="H8" s="182" t="str">
        <f>"RR(max)="&amp;ROUND(IF($C$16=0,$O$20,$O$23),2)&amp;" k"</f>
        <v>RR(max)=9.13 k</v>
      </c>
      <c r="I8" s="64"/>
      <c r="J8" s="150"/>
      <c r="L8" s="63"/>
      <c r="M8" s="111"/>
      <c r="N8" s="136" t="s">
        <v>5</v>
      </c>
      <c r="O8" s="73">
        <f>$F$23-$F$22/24+$C$26/6</f>
        <v>0.49316666666666664</v>
      </c>
      <c r="P8" s="155" t="s">
        <v>8</v>
      </c>
      <c r="Q8" s="137" t="s">
        <v>859</v>
      </c>
      <c r="R8" s="78"/>
      <c r="S8" s="78"/>
      <c r="T8" s="78"/>
      <c r="U8" s="1"/>
      <c r="AH8" s="12" t="s">
        <v>67</v>
      </c>
      <c r="AI8" s="22">
        <v>26.5</v>
      </c>
      <c r="AJ8" s="23">
        <v>24</v>
      </c>
      <c r="AK8" s="23">
        <v>0.625</v>
      </c>
      <c r="AL8" s="23">
        <v>7.13</v>
      </c>
      <c r="AM8" s="23">
        <v>0.87</v>
      </c>
      <c r="AN8" s="23">
        <v>1.75</v>
      </c>
      <c r="AO8" s="14">
        <v>1.6</v>
      </c>
      <c r="AP8" s="14">
        <v>3.87</v>
      </c>
      <c r="AQ8" s="23">
        <v>2250</v>
      </c>
      <c r="AR8" s="23">
        <v>187</v>
      </c>
      <c r="AS8" s="23">
        <v>9.21</v>
      </c>
      <c r="AT8" s="23">
        <v>44.7</v>
      </c>
      <c r="AU8" s="23">
        <v>12.5</v>
      </c>
      <c r="AV8" s="23">
        <v>1.3</v>
      </c>
      <c r="AW8" s="212">
        <v>6.05</v>
      </c>
      <c r="AX8" s="212">
        <v>5980</v>
      </c>
      <c r="AY8" s="126">
        <v>90</v>
      </c>
      <c r="BA8" s="200">
        <v>61</v>
      </c>
      <c r="BB8" s="207" t="str">
        <f>IF($B$60&lt;=$B$61,"fby &lt;= Fby,  O.K.","fby &gt; Fby")</f>
        <v>fby &lt;= Fby,  O.K.</v>
      </c>
      <c r="BC8" s="78"/>
      <c r="BD8" s="201"/>
      <c r="BE8" s="199">
        <f>$B$60/$B$61</f>
        <v>0.23524080393192295</v>
      </c>
    </row>
    <row r="9" spans="1:57" ht="12.75">
      <c r="A9" s="84" t="s">
        <v>208</v>
      </c>
      <c r="B9" s="44"/>
      <c r="C9" s="44"/>
      <c r="D9" s="64"/>
      <c r="E9" s="71"/>
      <c r="F9" s="182" t="str">
        <f>"     L="&amp;$C$13&amp;"'"</f>
        <v>     L=17'</v>
      </c>
      <c r="G9" s="64"/>
      <c r="H9" s="182" t="str">
        <f>"              Lo="&amp;$C$16&amp;"'"</f>
        <v>              Lo=3'</v>
      </c>
      <c r="I9" s="64"/>
      <c r="J9" s="150"/>
      <c r="L9" s="63"/>
      <c r="M9" s="111"/>
      <c r="N9" s="138" t="s">
        <v>135</v>
      </c>
      <c r="O9" s="73">
        <f>2*$C$26/($F$22-$F$21)</f>
        <v>0.15647819737116628</v>
      </c>
      <c r="P9" s="155"/>
      <c r="Q9" s="139" t="s">
        <v>136</v>
      </c>
      <c r="R9" s="78"/>
      <c r="S9" s="78"/>
      <c r="T9" s="78"/>
      <c r="U9" s="1"/>
      <c r="AH9" s="12" t="s">
        <v>65</v>
      </c>
      <c r="AI9" s="22">
        <v>23.5</v>
      </c>
      <c r="AJ9" s="23">
        <v>24</v>
      </c>
      <c r="AK9" s="23">
        <v>0.5</v>
      </c>
      <c r="AL9" s="23">
        <v>7</v>
      </c>
      <c r="AM9" s="23">
        <v>0.87</v>
      </c>
      <c r="AN9" s="23">
        <v>1.75</v>
      </c>
      <c r="AO9" s="14">
        <v>1.61</v>
      </c>
      <c r="AP9" s="14">
        <v>3.94</v>
      </c>
      <c r="AQ9" s="23">
        <v>2100</v>
      </c>
      <c r="AR9" s="23">
        <v>175</v>
      </c>
      <c r="AS9" s="23">
        <v>9.47</v>
      </c>
      <c r="AT9" s="23">
        <v>42</v>
      </c>
      <c r="AU9" s="23">
        <v>12</v>
      </c>
      <c r="AV9" s="23">
        <v>1.34</v>
      </c>
      <c r="AW9" s="212">
        <v>4.89</v>
      </c>
      <c r="AX9" s="212">
        <v>5620</v>
      </c>
      <c r="AY9" s="126">
        <v>80</v>
      </c>
      <c r="BA9" s="209">
        <v>64</v>
      </c>
      <c r="BB9" s="162" t="str">
        <f>IF($B$64&lt;=1,"S.R.(combined) &lt;= 1.0,  O.K.","S.R.(combined) &gt; 1.0")</f>
        <v>S.R.(combined) &lt;= 1.0,  O.K.</v>
      </c>
      <c r="BE9" s="199">
        <f>$B$64</f>
        <v>0.6619964632081087</v>
      </c>
    </row>
    <row r="10" spans="1:57" ht="12.75">
      <c r="A10" s="83"/>
      <c r="B10" s="47" t="s">
        <v>79</v>
      </c>
      <c r="C10" s="225" t="s">
        <v>59</v>
      </c>
      <c r="D10" s="44"/>
      <c r="E10" s="189" t="str">
        <f>"  x="&amp;ROUND($B$42,3)&amp;"'"</f>
        <v>  x=8.313'</v>
      </c>
      <c r="F10" s="44"/>
      <c r="G10" s="44"/>
      <c r="H10" s="44"/>
      <c r="I10" s="44"/>
      <c r="J10" s="76"/>
      <c r="L10" s="63"/>
      <c r="M10" s="111"/>
      <c r="N10" s="136" t="s">
        <v>2</v>
      </c>
      <c r="O10" s="73">
        <f>-1.096+1.095*$O$9+0.192*EXP(-6*$O$9)</f>
        <v>-0.8495709697198179</v>
      </c>
      <c r="P10" s="155"/>
      <c r="Q10" s="137" t="s">
        <v>864</v>
      </c>
      <c r="R10" s="78"/>
      <c r="S10" s="78"/>
      <c r="T10" s="78"/>
      <c r="U10" s="1"/>
      <c r="AH10" s="12" t="s">
        <v>68</v>
      </c>
      <c r="AI10" s="22">
        <v>28.2</v>
      </c>
      <c r="AJ10" s="23">
        <v>20.3</v>
      </c>
      <c r="AK10" s="23">
        <v>0.8</v>
      </c>
      <c r="AL10" s="23">
        <v>7.2</v>
      </c>
      <c r="AM10" s="23">
        <v>0.92</v>
      </c>
      <c r="AN10" s="23">
        <v>1.75</v>
      </c>
      <c r="AO10" s="14">
        <v>1.63</v>
      </c>
      <c r="AP10" s="14">
        <v>3.06</v>
      </c>
      <c r="AQ10" s="23">
        <v>1670</v>
      </c>
      <c r="AR10" s="23">
        <v>165</v>
      </c>
      <c r="AS10" s="23">
        <v>7.71</v>
      </c>
      <c r="AT10" s="23">
        <v>49.9</v>
      </c>
      <c r="AU10" s="23">
        <v>13.9</v>
      </c>
      <c r="AV10" s="23">
        <v>1.33</v>
      </c>
      <c r="AW10" s="212">
        <v>8.4</v>
      </c>
      <c r="AX10" s="212">
        <v>4690</v>
      </c>
      <c r="AY10" s="126">
        <v>96</v>
      </c>
      <c r="BA10" s="208">
        <v>70</v>
      </c>
      <c r="BB10" s="162" t="str">
        <f>IF($B$68&lt;=$B$70,"Defl.(max) &lt;= Defl.(allow),  O.K.","Defl.(max) &gt; Defl.(allow)")</f>
        <v>Defl.(max) &lt;= Defl.(allow),  O.K.</v>
      </c>
      <c r="BE10" s="199">
        <f>$B$68/$B$70</f>
        <v>0.3113630547654791</v>
      </c>
    </row>
    <row r="11" spans="1:53" ht="12.75">
      <c r="A11" s="84" t="s">
        <v>80</v>
      </c>
      <c r="B11" s="44"/>
      <c r="C11" s="44"/>
      <c r="D11" s="95"/>
      <c r="E11" s="179"/>
      <c r="F11" s="183" t="str">
        <f>"           S="&amp;$C$25&amp;"'"</f>
        <v>           S=0.75'</v>
      </c>
      <c r="G11" s="120"/>
      <c r="H11" s="180"/>
      <c r="I11" s="180"/>
      <c r="J11" s="177"/>
      <c r="L11" s="63"/>
      <c r="M11" s="111"/>
      <c r="N11" s="136" t="s">
        <v>6</v>
      </c>
      <c r="O11" s="73">
        <f>3.965-4.835*$O$9-3.965*EXP(-2.675*$O$9)</f>
        <v>0.5995331320427706</v>
      </c>
      <c r="P11" s="155"/>
      <c r="Q11" s="137" t="s">
        <v>243</v>
      </c>
      <c r="R11" s="78"/>
      <c r="S11" s="78"/>
      <c r="T11" s="78"/>
      <c r="U11" s="1"/>
      <c r="V11" s="75"/>
      <c r="W11" s="75"/>
      <c r="AH11" s="12" t="s">
        <v>66</v>
      </c>
      <c r="AI11" s="22">
        <v>25.3</v>
      </c>
      <c r="AJ11" s="23">
        <v>20.3</v>
      </c>
      <c r="AK11" s="23">
        <v>0.66</v>
      </c>
      <c r="AL11" s="23">
        <v>7.06</v>
      </c>
      <c r="AM11" s="23">
        <v>0.92</v>
      </c>
      <c r="AN11" s="23">
        <v>1.75</v>
      </c>
      <c r="AO11" s="14">
        <v>1.63</v>
      </c>
      <c r="AP11" s="14">
        <v>3.13</v>
      </c>
      <c r="AQ11" s="23">
        <v>1570</v>
      </c>
      <c r="AR11" s="23">
        <v>155</v>
      </c>
      <c r="AS11" s="23">
        <v>7.89</v>
      </c>
      <c r="AT11" s="23">
        <v>46.6</v>
      </c>
      <c r="AU11" s="23">
        <v>13.2</v>
      </c>
      <c r="AV11" s="23">
        <v>1.36</v>
      </c>
      <c r="AW11" s="212">
        <v>6.65</v>
      </c>
      <c r="AX11" s="212">
        <v>4380</v>
      </c>
      <c r="AY11" s="126">
        <v>86</v>
      </c>
      <c r="BA11" s="198" t="s">
        <v>227</v>
      </c>
    </row>
    <row r="12" spans="1:57" ht="12.75">
      <c r="A12" s="83"/>
      <c r="B12" s="50" t="s">
        <v>26</v>
      </c>
      <c r="C12" s="217">
        <v>36</v>
      </c>
      <c r="D12" s="104" t="s">
        <v>9</v>
      </c>
      <c r="E12" s="50"/>
      <c r="F12" s="44"/>
      <c r="G12" s="44"/>
      <c r="H12" s="44"/>
      <c r="I12" s="44"/>
      <c r="J12" s="178"/>
      <c r="L12" s="63"/>
      <c r="N12" s="136" t="s">
        <v>245</v>
      </c>
      <c r="O12" s="73">
        <f>-0.981-1.479*$O$9+1.12*EXP(1.322*$O$9)</f>
        <v>0.1649621319713066</v>
      </c>
      <c r="P12" s="155"/>
      <c r="Q12" s="137" t="s">
        <v>857</v>
      </c>
      <c r="R12" s="78"/>
      <c r="S12" s="78"/>
      <c r="T12" s="78"/>
      <c r="U12" s="1"/>
      <c r="V12" s="75"/>
      <c r="W12" s="75"/>
      <c r="AH12" s="12" t="s">
        <v>64</v>
      </c>
      <c r="AI12" s="22">
        <v>22</v>
      </c>
      <c r="AJ12" s="23">
        <v>20</v>
      </c>
      <c r="AK12" s="23">
        <v>0.635</v>
      </c>
      <c r="AL12" s="23">
        <v>6.39</v>
      </c>
      <c r="AM12" s="23">
        <v>0.795</v>
      </c>
      <c r="AN12" s="23">
        <v>1.625</v>
      </c>
      <c r="AO12" s="14">
        <v>1.43</v>
      </c>
      <c r="AP12" s="14">
        <v>3.94</v>
      </c>
      <c r="AQ12" s="23">
        <v>1280</v>
      </c>
      <c r="AR12" s="23">
        <v>128</v>
      </c>
      <c r="AS12" s="23">
        <v>7.62</v>
      </c>
      <c r="AT12" s="23">
        <v>29.5</v>
      </c>
      <c r="AU12" s="23">
        <v>9.25</v>
      </c>
      <c r="AV12" s="23">
        <v>1.16</v>
      </c>
      <c r="AW12" s="212">
        <v>4.59</v>
      </c>
      <c r="AX12" s="212">
        <v>2720</v>
      </c>
      <c r="AY12" s="126">
        <v>75</v>
      </c>
      <c r="BA12" s="208">
        <v>84</v>
      </c>
      <c r="BB12" s="207" t="str">
        <f>IF($C$16&gt;0,IF($B$82&lt;=$B$84,"fbx &lt;= Fbx,  O.K.","fbx &gt; Fbx"),"N.A.")</f>
        <v>fbx &lt;= Fbx,  O.K.</v>
      </c>
      <c r="BE12" s="199">
        <f>IF($C$16&gt;0,$B$82/$B$84,"")</f>
        <v>0.21574440052700922</v>
      </c>
    </row>
    <row r="13" spans="1:57" ht="12.75">
      <c r="A13" s="83"/>
      <c r="B13" s="47" t="s">
        <v>877</v>
      </c>
      <c r="C13" s="218">
        <v>17</v>
      </c>
      <c r="D13" s="104" t="s">
        <v>90</v>
      </c>
      <c r="E13" s="50"/>
      <c r="F13" s="44"/>
      <c r="G13" s="44"/>
      <c r="H13" s="163" t="str">
        <f>$C$10</f>
        <v>S12x50</v>
      </c>
      <c r="I13" s="44"/>
      <c r="J13" s="178"/>
      <c r="L13" s="63"/>
      <c r="N13" s="136" t="s">
        <v>246</v>
      </c>
      <c r="O13" s="73">
        <f>1.81-1.15*$O$9+1.06*EXP(-7.7*$O$9)</f>
        <v>1.947761042145803</v>
      </c>
      <c r="P13" s="155"/>
      <c r="Q13" s="137" t="s">
        <v>865</v>
      </c>
      <c r="R13" s="78"/>
      <c r="S13" s="78"/>
      <c r="T13" s="78"/>
      <c r="U13" s="1"/>
      <c r="V13" s="75"/>
      <c r="W13" s="75"/>
      <c r="AH13" s="12" t="s">
        <v>62</v>
      </c>
      <c r="AI13" s="22">
        <v>19.4</v>
      </c>
      <c r="AJ13" s="23">
        <v>20</v>
      </c>
      <c r="AK13" s="23">
        <v>0.505</v>
      </c>
      <c r="AL13" s="23">
        <v>6.26</v>
      </c>
      <c r="AM13" s="23">
        <v>0.795</v>
      </c>
      <c r="AN13" s="23">
        <v>1.625</v>
      </c>
      <c r="AO13" s="14">
        <v>1.44</v>
      </c>
      <c r="AP13" s="14">
        <v>4.02</v>
      </c>
      <c r="AQ13" s="23">
        <v>1190</v>
      </c>
      <c r="AR13" s="23">
        <v>119</v>
      </c>
      <c r="AS13" s="23">
        <v>7.83</v>
      </c>
      <c r="AT13" s="23">
        <v>27.5</v>
      </c>
      <c r="AU13" s="23">
        <v>8.78</v>
      </c>
      <c r="AV13" s="23">
        <v>1.19</v>
      </c>
      <c r="AW13" s="212">
        <v>3.58</v>
      </c>
      <c r="AX13" s="212">
        <v>2540</v>
      </c>
      <c r="AY13" s="126">
        <v>66</v>
      </c>
      <c r="BA13" s="208">
        <v>90</v>
      </c>
      <c r="BB13" s="162" t="str">
        <f>IF($C$16&gt;0,IF($B$89&lt;=$B$90,"fby &lt;= Fby,  O.K.","fby &gt; Fby"),"N.A.")</f>
        <v>fby &lt;= Fby,  O.K.</v>
      </c>
      <c r="BE13" s="199">
        <f>IF($C$16&gt;0,$B$89/$B$90,"")</f>
        <v>0.2063160664699931</v>
      </c>
    </row>
    <row r="14" spans="1:57" ht="12.75">
      <c r="A14" s="83"/>
      <c r="B14" s="47" t="s">
        <v>113</v>
      </c>
      <c r="C14" s="218">
        <v>17</v>
      </c>
      <c r="D14" s="104" t="s">
        <v>90</v>
      </c>
      <c r="E14" s="44"/>
      <c r="F14" s="44"/>
      <c r="G14" s="44"/>
      <c r="H14" s="298" t="s">
        <v>978</v>
      </c>
      <c r="I14" s="44"/>
      <c r="J14" s="181"/>
      <c r="L14" s="63"/>
      <c r="N14" s="114" t="s">
        <v>96</v>
      </c>
      <c r="O14" s="78"/>
      <c r="P14" s="77"/>
      <c r="Q14" s="68"/>
      <c r="R14" s="67"/>
      <c r="S14" s="69"/>
      <c r="T14" s="68"/>
      <c r="U14" s="1"/>
      <c r="V14" s="75"/>
      <c r="W14" s="75"/>
      <c r="AH14" s="12" t="s">
        <v>63</v>
      </c>
      <c r="AI14" s="22">
        <v>20.5</v>
      </c>
      <c r="AJ14" s="23">
        <v>18</v>
      </c>
      <c r="AK14" s="23">
        <v>0.711</v>
      </c>
      <c r="AL14" s="23">
        <v>6.25</v>
      </c>
      <c r="AM14" s="23">
        <v>0.691</v>
      </c>
      <c r="AN14" s="23">
        <v>1.5</v>
      </c>
      <c r="AO14" s="14">
        <v>1.36</v>
      </c>
      <c r="AP14" s="14">
        <v>4.17</v>
      </c>
      <c r="AQ14" s="23">
        <v>923</v>
      </c>
      <c r="AR14" s="23">
        <v>103</v>
      </c>
      <c r="AS14" s="23">
        <v>6.7</v>
      </c>
      <c r="AT14" s="23">
        <v>24</v>
      </c>
      <c r="AU14" s="23">
        <v>7.69</v>
      </c>
      <c r="AV14" s="23">
        <v>1.08</v>
      </c>
      <c r="AW14" s="212">
        <v>4.1</v>
      </c>
      <c r="AX14" s="212">
        <v>1800</v>
      </c>
      <c r="AY14" s="126">
        <v>70</v>
      </c>
      <c r="BA14" s="208">
        <v>93</v>
      </c>
      <c r="BB14" s="162" t="str">
        <f>IF($C$16&gt;0,IF($B$93&lt;=1,"S.R.(combined) &lt;= 1.0,  O.K.","S.R.(combined) &gt; 1.0"),"N.A.")</f>
        <v>S.R.(combined) &lt;= 1.0,  O.K.</v>
      </c>
      <c r="BE14" s="199">
        <f>IF($C$16&gt;0,$B$93,"")</f>
        <v>0.4220604669970023</v>
      </c>
    </row>
    <row r="15" spans="1:57" ht="12.75">
      <c r="A15" s="83"/>
      <c r="B15" s="47" t="s">
        <v>114</v>
      </c>
      <c r="C15" s="219">
        <v>1</v>
      </c>
      <c r="D15" s="44"/>
      <c r="E15" s="44"/>
      <c r="F15" s="163" t="str">
        <f>"           Pv="&amp;ROUND($B$31,3)&amp;" k"</f>
        <v>           Pv=7.4 k</v>
      </c>
      <c r="G15" s="44"/>
      <c r="H15" s="298" t="s">
        <v>979</v>
      </c>
      <c r="I15" s="44"/>
      <c r="J15" s="76"/>
      <c r="L15" s="63"/>
      <c r="N15" s="115" t="s">
        <v>97</v>
      </c>
      <c r="O15" s="75">
        <f>$F$22/(2*$F$23)</f>
        <v>4.157814871016692</v>
      </c>
      <c r="P15" s="156"/>
      <c r="Q15" s="70"/>
      <c r="R15" s="71"/>
      <c r="S15" s="71"/>
      <c r="T15" s="71"/>
      <c r="U15" s="1"/>
      <c r="V15" s="75"/>
      <c r="W15" s="75"/>
      <c r="AH15" s="12" t="s">
        <v>61</v>
      </c>
      <c r="AI15" s="22">
        <v>16</v>
      </c>
      <c r="AJ15" s="23">
        <v>18</v>
      </c>
      <c r="AK15" s="23">
        <v>0.461</v>
      </c>
      <c r="AL15" s="23">
        <v>6</v>
      </c>
      <c r="AM15" s="23">
        <v>0.691</v>
      </c>
      <c r="AN15" s="23">
        <v>1.5</v>
      </c>
      <c r="AO15" s="14">
        <v>1.37</v>
      </c>
      <c r="AP15" s="14">
        <v>4.34</v>
      </c>
      <c r="AQ15" s="23">
        <v>801</v>
      </c>
      <c r="AR15" s="23">
        <v>89</v>
      </c>
      <c r="AS15" s="23">
        <v>7.07</v>
      </c>
      <c r="AT15" s="23">
        <v>20.7</v>
      </c>
      <c r="AU15" s="23">
        <v>6.91</v>
      </c>
      <c r="AV15" s="23">
        <v>1.14</v>
      </c>
      <c r="AW15" s="212">
        <v>2.33</v>
      </c>
      <c r="AX15" s="212">
        <v>1550</v>
      </c>
      <c r="AY15" s="126">
        <v>54.7</v>
      </c>
      <c r="BA15" s="208">
        <v>99</v>
      </c>
      <c r="BB15" s="162" t="str">
        <f>IF($C$16&gt;0,IF($B$97&lt;=$B$99,"Defl.(max) &lt;= Defl.(allow),  O.K.","Defl.(max) &gt; Defl.(allow)"),"N.A.")</f>
        <v>Defl.(max) &lt;= Defl.(allow),  O.K.</v>
      </c>
      <c r="BE15" s="199">
        <f>IF($C$16&gt;0,$B$97/$B$99,"")</f>
        <v>0.89385455786958</v>
      </c>
    </row>
    <row r="16" spans="1:53" ht="12.75">
      <c r="A16" s="83"/>
      <c r="B16" s="47" t="s">
        <v>174</v>
      </c>
      <c r="C16" s="218">
        <v>3</v>
      </c>
      <c r="D16" s="104" t="s">
        <v>90</v>
      </c>
      <c r="E16" s="149" t="s">
        <v>151</v>
      </c>
      <c r="F16" s="186"/>
      <c r="G16" s="149"/>
      <c r="H16" s="186"/>
      <c r="I16" s="186"/>
      <c r="J16" s="76"/>
      <c r="L16" s="63"/>
      <c r="N16" s="115" t="s">
        <v>98</v>
      </c>
      <c r="O16" s="75">
        <f>$F$20/$F$21</f>
        <v>17.46724890829694</v>
      </c>
      <c r="P16" s="77"/>
      <c r="Q16" s="73"/>
      <c r="R16" s="74"/>
      <c r="S16" s="74"/>
      <c r="T16" s="74"/>
      <c r="U16" s="1"/>
      <c r="V16" s="75"/>
      <c r="W16" s="75"/>
      <c r="AH16" s="12" t="s">
        <v>60</v>
      </c>
      <c r="AI16" s="22">
        <v>14.7</v>
      </c>
      <c r="AJ16" s="23">
        <v>15</v>
      </c>
      <c r="AK16" s="23">
        <v>0.55</v>
      </c>
      <c r="AL16" s="23">
        <v>5.64</v>
      </c>
      <c r="AM16" s="23">
        <v>0.622</v>
      </c>
      <c r="AN16" s="23">
        <v>1.375</v>
      </c>
      <c r="AO16" s="14">
        <v>1.26</v>
      </c>
      <c r="AP16" s="14">
        <v>4.28</v>
      </c>
      <c r="AQ16" s="23">
        <v>485</v>
      </c>
      <c r="AR16" s="23">
        <v>64.7</v>
      </c>
      <c r="AS16" s="23">
        <v>5.75</v>
      </c>
      <c r="AT16" s="23">
        <v>15.6</v>
      </c>
      <c r="AU16" s="23">
        <v>5.53</v>
      </c>
      <c r="AV16" s="23">
        <v>1.03</v>
      </c>
      <c r="AW16" s="212">
        <v>2.12</v>
      </c>
      <c r="AX16" s="212">
        <v>806</v>
      </c>
      <c r="AY16" s="126">
        <v>50</v>
      </c>
      <c r="BA16" s="198" t="s">
        <v>935</v>
      </c>
    </row>
    <row r="17" spans="1:57" ht="12.75">
      <c r="A17" s="83"/>
      <c r="B17" s="47" t="s">
        <v>175</v>
      </c>
      <c r="C17" s="218">
        <v>11.5</v>
      </c>
      <c r="D17" s="104" t="s">
        <v>90</v>
      </c>
      <c r="E17" s="160">
        <f>IF(AND($C$16=0,$C$17&gt;0),"Must input unbraced of overhang, Lbo&gt;0 !","")</f>
      </c>
      <c r="F17" s="44"/>
      <c r="G17" s="44"/>
      <c r="H17" s="44"/>
      <c r="I17" s="44"/>
      <c r="J17" s="76"/>
      <c r="L17" s="63"/>
      <c r="M17" s="81"/>
      <c r="N17" s="115" t="s">
        <v>99</v>
      </c>
      <c r="O17" s="1">
        <f>IF($O$15&lt;=195/SQRT($C$12),MIN(1.293-0.00309*$O$15*SQRT($C$12),1),MIN(26200/($C$12*$O$15^2),1))</f>
        <v>1</v>
      </c>
      <c r="P17" s="156"/>
      <c r="Q17" s="73"/>
      <c r="R17" s="74"/>
      <c r="S17" s="74"/>
      <c r="T17" s="74"/>
      <c r="U17" s="1"/>
      <c r="V17" s="75"/>
      <c r="W17" s="75"/>
      <c r="AH17" s="12" t="s">
        <v>58</v>
      </c>
      <c r="AI17" s="22">
        <v>12.6</v>
      </c>
      <c r="AJ17" s="23">
        <v>15</v>
      </c>
      <c r="AK17" s="23">
        <v>0.411</v>
      </c>
      <c r="AL17" s="23">
        <v>5.5</v>
      </c>
      <c r="AM17" s="23">
        <v>0.622</v>
      </c>
      <c r="AN17" s="23">
        <v>1.375</v>
      </c>
      <c r="AO17" s="14">
        <v>1.26</v>
      </c>
      <c r="AP17" s="14">
        <v>4.38</v>
      </c>
      <c r="AQ17" s="23">
        <v>446</v>
      </c>
      <c r="AR17" s="23">
        <v>59.4</v>
      </c>
      <c r="AS17" s="23">
        <v>5.95</v>
      </c>
      <c r="AT17" s="23">
        <v>14.3</v>
      </c>
      <c r="AU17" s="23">
        <v>5.19</v>
      </c>
      <c r="AV17" s="23">
        <v>1.06</v>
      </c>
      <c r="AW17" s="212">
        <v>1.54</v>
      </c>
      <c r="AX17" s="212">
        <v>739</v>
      </c>
      <c r="AY17" s="126">
        <v>42.9</v>
      </c>
      <c r="BA17" s="208">
        <v>108</v>
      </c>
      <c r="BB17" s="162" t="str">
        <f>IF($B$107&lt;=$B$108,"fb &lt;= Fb = 0.75*Fy, O.K.","fb &gt; Fb = 0.75*Fy")</f>
        <v>fb &lt;= Fb = 0.75*Fy, O.K.</v>
      </c>
      <c r="BE17" s="199">
        <f>$B$107/$B$108</f>
        <v>0.17270315248661278</v>
      </c>
    </row>
    <row r="18" spans="1:53" ht="12.75">
      <c r="A18" s="83"/>
      <c r="B18" s="47" t="s">
        <v>918</v>
      </c>
      <c r="C18" s="219">
        <v>1</v>
      </c>
      <c r="D18" s="44"/>
      <c r="E18" s="187" t="str">
        <f>$C$10&amp;" Member Properties:"</f>
        <v>S12x50 Member Properties:</v>
      </c>
      <c r="F18" s="186"/>
      <c r="G18" s="186"/>
      <c r="H18" s="186"/>
      <c r="I18" s="186"/>
      <c r="J18" s="188"/>
      <c r="L18" s="63"/>
      <c r="M18" s="81"/>
      <c r="N18" s="291" t="s">
        <v>943</v>
      </c>
      <c r="O18" s="67"/>
      <c r="P18" s="62"/>
      <c r="AH18" s="12" t="s">
        <v>59</v>
      </c>
      <c r="AI18" s="22">
        <v>14.6</v>
      </c>
      <c r="AJ18" s="23">
        <v>12</v>
      </c>
      <c r="AK18" s="23">
        <v>0.687</v>
      </c>
      <c r="AL18" s="23">
        <v>5.48</v>
      </c>
      <c r="AM18" s="23">
        <v>0.659</v>
      </c>
      <c r="AN18" s="23">
        <v>1.4375</v>
      </c>
      <c r="AO18" s="14">
        <v>1.25</v>
      </c>
      <c r="AP18" s="14">
        <v>3.32</v>
      </c>
      <c r="AQ18" s="23">
        <v>303</v>
      </c>
      <c r="AR18" s="23">
        <v>50.6</v>
      </c>
      <c r="AS18" s="23">
        <v>4.55</v>
      </c>
      <c r="AT18" s="23">
        <v>15.6</v>
      </c>
      <c r="AU18" s="23">
        <v>5.69</v>
      </c>
      <c r="AV18" s="23">
        <v>1.03</v>
      </c>
      <c r="AW18" s="212">
        <v>2.77</v>
      </c>
      <c r="AX18" s="212">
        <v>502</v>
      </c>
      <c r="AY18" s="126">
        <v>50</v>
      </c>
      <c r="BA18" s="198" t="s">
        <v>936</v>
      </c>
    </row>
    <row r="19" spans="1:57" ht="12.75">
      <c r="A19" s="83"/>
      <c r="B19" s="47" t="s">
        <v>83</v>
      </c>
      <c r="C19" s="220">
        <v>6</v>
      </c>
      <c r="D19" s="96" t="s">
        <v>7</v>
      </c>
      <c r="E19" s="47" t="s">
        <v>15</v>
      </c>
      <c r="F19" s="6">
        <f>VLOOKUP($C$10,$AH$5:$AY$35,2,FALSE)</f>
        <v>14.6</v>
      </c>
      <c r="G19" s="96" t="s">
        <v>17</v>
      </c>
      <c r="H19" s="118" t="s">
        <v>101</v>
      </c>
      <c r="I19" s="6">
        <f>VLOOKUP($C$10,$AH$5:$AY$35,9,FALSE)</f>
        <v>3.32</v>
      </c>
      <c r="J19" s="76"/>
      <c r="L19" s="63"/>
      <c r="M19" s="111"/>
      <c r="N19" s="78" t="s">
        <v>947</v>
      </c>
      <c r="P19" s="62"/>
      <c r="AH19" s="12" t="s">
        <v>57</v>
      </c>
      <c r="AI19" s="22">
        <v>11.9</v>
      </c>
      <c r="AJ19" s="23">
        <v>12</v>
      </c>
      <c r="AK19" s="23">
        <v>0.462</v>
      </c>
      <c r="AL19" s="23">
        <v>5.25</v>
      </c>
      <c r="AM19" s="23">
        <v>0.659</v>
      </c>
      <c r="AN19" s="23">
        <v>1.4375</v>
      </c>
      <c r="AO19" s="14">
        <v>1.24</v>
      </c>
      <c r="AP19" s="14">
        <v>3.46</v>
      </c>
      <c r="AQ19" s="23">
        <v>270</v>
      </c>
      <c r="AR19" s="23">
        <v>45.1</v>
      </c>
      <c r="AS19" s="23">
        <v>4.76</v>
      </c>
      <c r="AT19" s="23">
        <v>13.5</v>
      </c>
      <c r="AU19" s="23">
        <v>5.13</v>
      </c>
      <c r="AV19" s="23">
        <v>1.06</v>
      </c>
      <c r="AW19" s="212">
        <v>1.69</v>
      </c>
      <c r="AX19" s="212">
        <v>434</v>
      </c>
      <c r="AY19" s="126">
        <v>40.8</v>
      </c>
      <c r="BA19" s="208">
        <v>129</v>
      </c>
      <c r="BB19" s="162" t="str">
        <f>"fto"&amp;IF($B$129&lt;=0.66*$C$12," &lt;="," &gt;")&amp;" Fb = 0.66*Fy"&amp;IF($B$129&lt;=0.66*$C$12,", O.K.","")</f>
        <v>fto &lt;= Fb = 0.66*Fy, O.K.</v>
      </c>
      <c r="BE19" s="199">
        <f>$B$129/(0.66*$C$12)</f>
        <v>0.5180083099345738</v>
      </c>
    </row>
    <row r="20" spans="1:57" ht="12.75">
      <c r="A20" s="83"/>
      <c r="B20" s="47" t="s">
        <v>211</v>
      </c>
      <c r="C20" s="220">
        <v>0.4</v>
      </c>
      <c r="D20" s="96" t="s">
        <v>7</v>
      </c>
      <c r="E20" s="47" t="s">
        <v>47</v>
      </c>
      <c r="F20" s="7">
        <f>VLOOKUP($C$10,$AH$5:$AY$35,3,FALSE)</f>
        <v>12</v>
      </c>
      <c r="G20" s="96" t="s">
        <v>8</v>
      </c>
      <c r="H20" s="47" t="s">
        <v>18</v>
      </c>
      <c r="I20" s="8">
        <f>VLOOKUP($C$10,$AH$5:$AY$35,10,FALSE)</f>
        <v>303</v>
      </c>
      <c r="J20" s="148" t="s">
        <v>19</v>
      </c>
      <c r="L20" s="63"/>
      <c r="N20" s="115" t="s">
        <v>944</v>
      </c>
      <c r="O20" s="1" t="str">
        <f>IF(AND($C$16=0,$C$24=2),$O$5+$O$4/1000*$C$13/2,IF(AND($C$16=0,$C$24=4),$O$5*($C$13-$C$25/2)/$C$13+$O$4/1000*$C$13/2,"N.A."))</f>
        <v>N.A.</v>
      </c>
      <c r="P20" s="78" t="s">
        <v>7</v>
      </c>
      <c r="Q20" s="115" t="s">
        <v>946</v>
      </c>
      <c r="R20" s="78" t="str">
        <f>IF(AND($C$16=0,$C$24=2),"Pv+w/1000*L/2",IF(AND($C$16=0,$C$24=4),"Pv*(L-S/2)/L+w/1000*L/2","N.A."))</f>
        <v>N.A.</v>
      </c>
      <c r="AH20" s="12" t="s">
        <v>21</v>
      </c>
      <c r="AI20" s="22">
        <v>10.2</v>
      </c>
      <c r="AJ20" s="23">
        <v>12</v>
      </c>
      <c r="AK20" s="23">
        <v>0.428</v>
      </c>
      <c r="AL20" s="23">
        <v>5.08</v>
      </c>
      <c r="AM20" s="23">
        <v>0.544</v>
      </c>
      <c r="AN20" s="23">
        <v>1.1875</v>
      </c>
      <c r="AO20" s="14">
        <v>1.16</v>
      </c>
      <c r="AP20" s="14">
        <v>4.34</v>
      </c>
      <c r="AQ20" s="23">
        <v>228</v>
      </c>
      <c r="AR20" s="23">
        <v>38.1</v>
      </c>
      <c r="AS20" s="23">
        <v>4.72</v>
      </c>
      <c r="AT20" s="23">
        <v>9.84</v>
      </c>
      <c r="AU20" s="23">
        <v>3.88</v>
      </c>
      <c r="AV20" s="23">
        <v>0.98</v>
      </c>
      <c r="AW20" s="212">
        <v>1.05</v>
      </c>
      <c r="AX20" s="212">
        <v>323</v>
      </c>
      <c r="AY20" s="126">
        <v>35</v>
      </c>
      <c r="BA20" s="208">
        <v>136</v>
      </c>
      <c r="BB20" s="162" t="str">
        <f>"ft1"&amp;IF($B$136&lt;=0.66*$C$12," &lt;="," &gt;")&amp;" Fb = 0.66*Fy"&amp;IF($B$136&lt;=0.66*$C$12,", O.K.","")</f>
        <v>ft1 &lt;= Fb = 0.66*Fy, O.K.</v>
      </c>
      <c r="BE20" s="199">
        <f>$B$136/(0.66*$C$12)</f>
        <v>0.9092370942632262</v>
      </c>
    </row>
    <row r="21" spans="1:57" ht="12.75">
      <c r="A21" s="83"/>
      <c r="B21" s="47" t="s">
        <v>212</v>
      </c>
      <c r="C21" s="221">
        <v>0.1</v>
      </c>
      <c r="D21" s="96" t="s">
        <v>7</v>
      </c>
      <c r="E21" s="47" t="s">
        <v>1</v>
      </c>
      <c r="F21" s="7">
        <f>VLOOKUP($C$10,$AH$5:$AY$35,4,FALSE)</f>
        <v>0.687</v>
      </c>
      <c r="G21" s="96" t="s">
        <v>8</v>
      </c>
      <c r="H21" s="47" t="s">
        <v>13</v>
      </c>
      <c r="I21" s="8">
        <f>VLOOKUP($C$10,$AH$5:$AY$35,11,FALSE)</f>
        <v>50.6</v>
      </c>
      <c r="J21" s="148" t="s">
        <v>16</v>
      </c>
      <c r="L21" s="63"/>
      <c r="N21" s="115" t="s">
        <v>945</v>
      </c>
      <c r="O21" s="1" t="str">
        <f>IF(AND($C$16=0,$C$24=2),0+$O$4/1000*$C$13/2,IF(AND($C$16=0,$C$24=4),$O$5*($C$25/2)/$C$13+$O$4/1000*$C$13/2,"N.A."))</f>
        <v>N.A.</v>
      </c>
      <c r="P21" s="78" t="s">
        <v>7</v>
      </c>
      <c r="Q21" s="115" t="s">
        <v>945</v>
      </c>
      <c r="R21" s="78" t="str">
        <f>IF(AND($C$16=0,$C$24=2),"0+w/1000*L/2",IF(AND($C$16=0,$C$24=4),"Pv*(S/2)/L+w/1000*L/2","N.A."))</f>
        <v>N.A.</v>
      </c>
      <c r="AH21" s="12" t="s">
        <v>55</v>
      </c>
      <c r="AI21" s="22">
        <v>9.31</v>
      </c>
      <c r="AJ21" s="23">
        <v>12</v>
      </c>
      <c r="AK21" s="23">
        <v>0.35</v>
      </c>
      <c r="AL21" s="23">
        <v>5</v>
      </c>
      <c r="AM21" s="23">
        <v>0.544</v>
      </c>
      <c r="AN21" s="23">
        <v>1.1875</v>
      </c>
      <c r="AO21" s="14">
        <v>1.16</v>
      </c>
      <c r="AP21" s="14">
        <v>4.41</v>
      </c>
      <c r="AQ21" s="23">
        <v>217</v>
      </c>
      <c r="AR21" s="23">
        <v>36.2</v>
      </c>
      <c r="AS21" s="23">
        <v>4.83</v>
      </c>
      <c r="AT21" s="23">
        <v>9.33</v>
      </c>
      <c r="AU21" s="23">
        <v>3.73</v>
      </c>
      <c r="AV21" s="23">
        <v>1</v>
      </c>
      <c r="AW21" s="212">
        <v>0.878</v>
      </c>
      <c r="AX21" s="212">
        <v>306</v>
      </c>
      <c r="AY21" s="126">
        <v>31.8</v>
      </c>
      <c r="BA21" s="208">
        <v>143</v>
      </c>
      <c r="BB21" s="162" t="str">
        <f>"ft2"&amp;IF($B$143&lt;=0.66*$C$12," &lt;="," &gt;")&amp;" Fb = 0.66*Fy"&amp;IF($B$143&lt;=0.66*$C$12,", O.K.","")</f>
        <v>ft2 &lt;= Fb = 0.66*Fy, O.K.</v>
      </c>
      <c r="BE21" s="199">
        <f>$B$143/(0.66*$C$12)</f>
        <v>0.24472626727631266</v>
      </c>
    </row>
    <row r="22" spans="1:51" ht="12.75">
      <c r="A22" s="83"/>
      <c r="B22" s="47" t="s">
        <v>91</v>
      </c>
      <c r="C22" s="222">
        <v>15</v>
      </c>
      <c r="D22" s="44" t="s">
        <v>81</v>
      </c>
      <c r="E22" s="47" t="s">
        <v>3</v>
      </c>
      <c r="F22" s="7">
        <f>VLOOKUP($C$10,$AH$5:$AY$35,5,FALSE)</f>
        <v>5.48</v>
      </c>
      <c r="G22" s="96" t="s">
        <v>8</v>
      </c>
      <c r="H22" s="47" t="s">
        <v>20</v>
      </c>
      <c r="I22" s="8">
        <f>VLOOKUP($C$10,$AH$5:$AY$35,13,FALSE)</f>
        <v>15.6</v>
      </c>
      <c r="J22" s="148" t="s">
        <v>19</v>
      </c>
      <c r="L22" s="63"/>
      <c r="N22" s="78" t="s">
        <v>948</v>
      </c>
      <c r="P22" s="62"/>
      <c r="AH22" s="12" t="s">
        <v>56</v>
      </c>
      <c r="AI22" s="22">
        <v>10.3</v>
      </c>
      <c r="AJ22" s="23">
        <v>10</v>
      </c>
      <c r="AK22" s="23">
        <v>0.594</v>
      </c>
      <c r="AL22" s="23">
        <v>4.94</v>
      </c>
      <c r="AM22" s="23">
        <v>0.491</v>
      </c>
      <c r="AN22" s="23">
        <v>1.125</v>
      </c>
      <c r="AO22" s="14">
        <v>1.1</v>
      </c>
      <c r="AP22" s="14">
        <v>4.12</v>
      </c>
      <c r="AQ22" s="23">
        <v>147</v>
      </c>
      <c r="AR22" s="23">
        <v>29.4</v>
      </c>
      <c r="AS22" s="23">
        <v>3.78</v>
      </c>
      <c r="AT22" s="23">
        <v>8.3</v>
      </c>
      <c r="AU22" s="23">
        <v>3.36</v>
      </c>
      <c r="AV22" s="23">
        <v>0.899</v>
      </c>
      <c r="AW22" s="212">
        <v>1.29</v>
      </c>
      <c r="AX22" s="212">
        <v>188</v>
      </c>
      <c r="AY22" s="126">
        <v>35</v>
      </c>
    </row>
    <row r="23" spans="1:54" ht="12.75">
      <c r="A23" s="83"/>
      <c r="B23" s="47" t="s">
        <v>115</v>
      </c>
      <c r="C23" s="222">
        <v>10</v>
      </c>
      <c r="D23" s="44" t="s">
        <v>81</v>
      </c>
      <c r="E23" s="47" t="s">
        <v>4</v>
      </c>
      <c r="F23" s="7">
        <f>VLOOKUP($C$10,$AH$5:$AY$35,6,FALSE)</f>
        <v>0.659</v>
      </c>
      <c r="G23" s="96" t="s">
        <v>8</v>
      </c>
      <c r="H23" s="47" t="s">
        <v>14</v>
      </c>
      <c r="I23" s="8">
        <f>VLOOKUP($C$10,$AH$5:$AY$35,14,FALSE)</f>
        <v>5.69</v>
      </c>
      <c r="J23" s="148" t="s">
        <v>16</v>
      </c>
      <c r="L23" s="63"/>
      <c r="N23" s="115" t="s">
        <v>944</v>
      </c>
      <c r="O23" s="1">
        <f>IF(AND($C$16&gt;0,$C$24=2),$O$5*($C$13+$C$16)/$C$13+$O$4/1000/(2*$C$13)*($C$13+$C$16)^2,IF(AND($C$16&gt;0,$C$24=4),$O$5*($C$13+($C$16-$C$25/2))/$C$13+$O$4/1000/(2*$C$13)*($C$13+$C$16)^2,"N.A."))</f>
        <v>9.130882352941176</v>
      </c>
      <c r="P23" s="78" t="s">
        <v>7</v>
      </c>
      <c r="Q23" s="115" t="s">
        <v>946</v>
      </c>
      <c r="R23" s="78" t="str">
        <f>IF(AND($C$16&gt;0,$C$24=2),"Pv*(L+Lo)/L+w/1000/(2*L)*(L+Lo)^2",IF(AND($C$16&gt;0,$C$24=4),"Pv*(L+(Lo-S/2))/L+w/1000/(2*L)*(L+Lo)^2","N.A."))</f>
        <v>Pv*(L+(Lo-S/2))/L+w/1000/(2*L)*(L+Lo)^2</v>
      </c>
      <c r="AH23" s="12" t="s">
        <v>54</v>
      </c>
      <c r="AI23" s="22">
        <v>7.45</v>
      </c>
      <c r="AJ23" s="23">
        <v>10</v>
      </c>
      <c r="AK23" s="23">
        <v>0.311</v>
      </c>
      <c r="AL23" s="23">
        <v>4.66</v>
      </c>
      <c r="AM23" s="23">
        <v>0.491</v>
      </c>
      <c r="AN23" s="23">
        <v>1.125</v>
      </c>
      <c r="AO23" s="14">
        <v>1.09</v>
      </c>
      <c r="AP23" s="14">
        <v>4.37</v>
      </c>
      <c r="AQ23" s="23">
        <v>123</v>
      </c>
      <c r="AR23" s="23">
        <v>24.6</v>
      </c>
      <c r="AS23" s="23">
        <v>4.07</v>
      </c>
      <c r="AT23" s="23">
        <v>6.73</v>
      </c>
      <c r="AU23" s="23">
        <v>2.89</v>
      </c>
      <c r="AV23" s="23">
        <v>0.95</v>
      </c>
      <c r="AW23" s="212">
        <v>0.603</v>
      </c>
      <c r="AX23" s="212">
        <v>152</v>
      </c>
      <c r="AY23" s="126">
        <v>25.4</v>
      </c>
      <c r="BB23" s="162"/>
    </row>
    <row r="24" spans="1:53" ht="12.75">
      <c r="A24" s="83"/>
      <c r="B24" s="47" t="s">
        <v>89</v>
      </c>
      <c r="C24" s="223">
        <v>4</v>
      </c>
      <c r="D24" s="96" t="str">
        <f>IF($C$24=2,"(1-pair)",IF($C$24=4,"(2-pairs)"))</f>
        <v>(2-pairs)</v>
      </c>
      <c r="E24" s="47" t="s">
        <v>199</v>
      </c>
      <c r="F24" s="7">
        <f>VLOOKUP($C$10,$AH$5:$AY$35,7,FALSE)</f>
        <v>1.4375</v>
      </c>
      <c r="G24" s="96" t="s">
        <v>8</v>
      </c>
      <c r="H24" s="47" t="s">
        <v>155</v>
      </c>
      <c r="I24" s="27">
        <f>VLOOKUP($C$10,$AH$5:$AY$35,16,FALSE)</f>
        <v>2.77</v>
      </c>
      <c r="J24" s="148" t="s">
        <v>19</v>
      </c>
      <c r="L24" s="63"/>
      <c r="N24" s="115" t="s">
        <v>945</v>
      </c>
      <c r="O24" s="1">
        <f>IF(AND($C$16&gt;0,$C$24=2),-$O$5*$C$16/$C$13+$O$4/1000/(2*$C$13)*($C$13^2-$C$16^2),IF(AND($C$16&gt;0,$C$24=4),-$O$5*($C$16-$C$25/2)/$C$13+$O$4/1000/(2*$C$13)*($C$13^2-$C$16^2),"N.A."))</f>
        <v>-0.7308823529411764</v>
      </c>
      <c r="P24" s="78" t="s">
        <v>7</v>
      </c>
      <c r="Q24" s="115" t="s">
        <v>945</v>
      </c>
      <c r="R24" s="78" t="str">
        <f>IF(AND($C$16&gt;0,$C$24=2),"-Pv*Lo/L+w/1000/(2*L)*(L^2-Lo^2)",IF(AND($C$16&gt;0,$C$24=4),"-Pv*(Lo-S/2)/L+w/1000/(2*L)*(L^2-Lo^2)","N.A."))</f>
        <v>-Pv*(Lo-S/2)/L+w/1000/(2*L)*(L^2-Lo^2)</v>
      </c>
      <c r="AH24" s="12" t="s">
        <v>53</v>
      </c>
      <c r="AI24" s="22">
        <v>6.76</v>
      </c>
      <c r="AJ24" s="23">
        <v>8</v>
      </c>
      <c r="AK24" s="23">
        <v>0.441</v>
      </c>
      <c r="AL24" s="23">
        <v>4.17</v>
      </c>
      <c r="AM24" s="23">
        <v>0.425</v>
      </c>
      <c r="AN24" s="23">
        <v>1</v>
      </c>
      <c r="AO24" s="14">
        <v>0.95</v>
      </c>
      <c r="AP24" s="14">
        <v>4.51</v>
      </c>
      <c r="AQ24" s="23">
        <v>64.7</v>
      </c>
      <c r="AR24" s="23">
        <v>16.2</v>
      </c>
      <c r="AS24" s="23">
        <v>3.09</v>
      </c>
      <c r="AT24" s="23">
        <v>4.27</v>
      </c>
      <c r="AU24" s="23">
        <v>2.05</v>
      </c>
      <c r="AV24" s="23">
        <v>0.795</v>
      </c>
      <c r="AW24" s="212">
        <v>0.55</v>
      </c>
      <c r="AX24" s="212">
        <v>61.3</v>
      </c>
      <c r="AY24" s="126">
        <v>23</v>
      </c>
      <c r="BA24" s="288" t="s">
        <v>916</v>
      </c>
    </row>
    <row r="25" spans="1:53" ht="12.75">
      <c r="A25" s="83"/>
      <c r="B25" s="47" t="s">
        <v>92</v>
      </c>
      <c r="C25" s="218">
        <v>0.75</v>
      </c>
      <c r="D25" s="104" t="s">
        <v>90</v>
      </c>
      <c r="E25" s="118" t="s">
        <v>100</v>
      </c>
      <c r="F25" s="292">
        <f>VLOOKUP($C$10,$AH$5:$AY$35,8,FALSE)</f>
        <v>1.25</v>
      </c>
      <c r="G25" s="184" t="s">
        <v>8</v>
      </c>
      <c r="H25" s="47" t="s">
        <v>156</v>
      </c>
      <c r="I25" s="105">
        <f>VLOOKUP($C$10,$AH$5:$AY$35,17,FALSE)</f>
        <v>502</v>
      </c>
      <c r="J25" s="148" t="s">
        <v>157</v>
      </c>
      <c r="L25" s="63"/>
      <c r="N25" s="108" t="s">
        <v>232</v>
      </c>
      <c r="V25" s="75"/>
      <c r="W25" s="75"/>
      <c r="AH25" s="12" t="s">
        <v>51</v>
      </c>
      <c r="AI25" s="22">
        <v>5.4</v>
      </c>
      <c r="AJ25" s="23">
        <v>8</v>
      </c>
      <c r="AK25" s="23">
        <v>0.271</v>
      </c>
      <c r="AL25" s="23">
        <v>4</v>
      </c>
      <c r="AM25" s="23">
        <v>0.425</v>
      </c>
      <c r="AN25" s="23">
        <v>1</v>
      </c>
      <c r="AO25" s="14">
        <v>0.95</v>
      </c>
      <c r="AP25" s="14">
        <v>4.7</v>
      </c>
      <c r="AQ25" s="23">
        <v>57.5</v>
      </c>
      <c r="AR25" s="23">
        <v>14.4</v>
      </c>
      <c r="AS25" s="23">
        <v>3.26</v>
      </c>
      <c r="AT25" s="23">
        <v>3.69</v>
      </c>
      <c r="AU25" s="23">
        <v>1.84</v>
      </c>
      <c r="AV25" s="23">
        <v>0.827</v>
      </c>
      <c r="AW25" s="212">
        <v>0.335</v>
      </c>
      <c r="AX25" s="212">
        <v>52.9</v>
      </c>
      <c r="AY25" s="126">
        <v>18.4</v>
      </c>
      <c r="BA25" s="289" t="s">
        <v>915</v>
      </c>
    </row>
    <row r="26" spans="1:59" ht="12.75">
      <c r="A26" s="83"/>
      <c r="B26" s="47" t="s">
        <v>84</v>
      </c>
      <c r="C26" s="224">
        <v>0.375</v>
      </c>
      <c r="D26" s="96" t="s">
        <v>8</v>
      </c>
      <c r="E26" s="160">
        <f>IF(AND($C$24=2,$C$25&gt;0),"Must input S=0 for Nw = 2 wheels (1-pair)!",IF(AND($C$24=4,$C$25=0),"Must input S&gt;0 for Nw = 4 wheels (2-pairs)!",""))</f>
      </c>
      <c r="F26" s="44"/>
      <c r="G26" s="185"/>
      <c r="H26" s="44"/>
      <c r="I26" s="44"/>
      <c r="J26" s="76"/>
      <c r="L26" s="63"/>
      <c r="N26" s="136" t="s">
        <v>134</v>
      </c>
      <c r="O26" s="73">
        <f>IF(AND($C$24=4,$C$25&lt;(2-SQRT(2))*$C$13),1/2*($C$13-$C$25/2),IF(AND($C$24=4,$C$25&gt;=(2-SQRT(2))*$C$13),$C$13/2,IF($C$24=2,$C$13/2)))</f>
        <v>8.3125</v>
      </c>
      <c r="P26" s="155" t="s">
        <v>90</v>
      </c>
      <c r="Q26" s="140" t="str">
        <f>IF(AND($C$24=4,$C$25&lt;(2-SQRT(2))*$C$13),"x = 1/2*(L-S/2)",IF(AND($C$24=4,$C$25&gt;=(2-SQRT(2))*$C$13),"x = L/2",IF($C$24=2,"x = L/2")))&amp;" (location of max. moments from left end of simple-span)"</f>
        <v>x = 1/2*(L-S/2) (location of max. moments from left end of simple-span)</v>
      </c>
      <c r="V26" s="75"/>
      <c r="W26" s="75"/>
      <c r="AH26" s="12" t="s">
        <v>52</v>
      </c>
      <c r="AI26" s="13">
        <v>5.88</v>
      </c>
      <c r="AJ26" s="14">
        <v>7</v>
      </c>
      <c r="AK26" s="14">
        <v>0.45</v>
      </c>
      <c r="AL26" s="14">
        <v>3.86</v>
      </c>
      <c r="AM26" s="14">
        <v>0.392</v>
      </c>
      <c r="AN26" s="14">
        <v>0.9375</v>
      </c>
      <c r="AO26" s="14">
        <v>0.88</v>
      </c>
      <c r="AP26" s="14">
        <v>4.63</v>
      </c>
      <c r="AQ26" s="14">
        <v>42.4</v>
      </c>
      <c r="AR26" s="14">
        <v>12.1</v>
      </c>
      <c r="AS26" s="14">
        <v>2.69</v>
      </c>
      <c r="AT26" s="14">
        <v>3.17</v>
      </c>
      <c r="AU26" s="14">
        <v>1.64</v>
      </c>
      <c r="AV26" s="14">
        <v>0.734</v>
      </c>
      <c r="AW26" s="213">
        <v>0.45</v>
      </c>
      <c r="AX26" s="213">
        <v>34.6</v>
      </c>
      <c r="AY26" s="126">
        <v>20</v>
      </c>
      <c r="BB26" s="269" t="s">
        <v>913</v>
      </c>
      <c r="BC26" s="287">
        <f>$C$16+$C$13</f>
        <v>20</v>
      </c>
      <c r="BD26" s="270" t="s">
        <v>90</v>
      </c>
      <c r="BF26" s="271" t="s">
        <v>906</v>
      </c>
      <c r="BG26" s="272"/>
    </row>
    <row r="27" spans="1:59" ht="12.75">
      <c r="A27" s="83"/>
      <c r="C27" s="44"/>
      <c r="D27" s="44"/>
      <c r="E27" s="293" t="s">
        <v>943</v>
      </c>
      <c r="F27" s="44"/>
      <c r="G27" s="157" t="str">
        <f>IF($C$16=0,"(no overhang)",IF($C$16&gt;0,"(with overhang)"))</f>
        <v>(with overhang)</v>
      </c>
      <c r="I27" s="44"/>
      <c r="J27" s="76"/>
      <c r="L27" s="63"/>
      <c r="M27" s="74"/>
      <c r="N27" s="136" t="s">
        <v>22</v>
      </c>
      <c r="O27" s="302">
        <f>IF(AND($C$24=4,$C$25&lt;(2-SQRT(2))*$C$13),($B$31/2)/(2*$C$13)*($C$13-$C$25/2)^2+$O$4/1000*$O$26/2*($C$13-$O$26),IF(AND($C$24=4,$C$25&gt;=(2-SQRT(2))*$C$13),($B$31/2)*$C$13/4+$O$4/1000*$C$13^2/8,IF($C$24=2,$B$31*$C$13/4+$O$4/1000*$C$13^2/8)))</f>
        <v>31.883174402573527</v>
      </c>
      <c r="P27" s="155" t="s">
        <v>24</v>
      </c>
      <c r="Q27" s="301" t="str">
        <f>IF(AND($C$24=4,$C$25&lt;(2-SQRT(2))*$C$13),"Mx = (Pv/2)/(2*L)*(L-S/2)^2+w/1000*x/2*(L-x)",IF(AND($C$24=4,$C$25&gt;=(2-SQRT(2))*$C$13),"Mx = (Pv/2)*L/4+w/1000*L^2/8",IF($C$24=2,"Mx = Pv*L/4+w/1000*L^2/8")))</f>
        <v>Mx = (Pv/2)/(2*L)*(L-S/2)^2+w/1000*x/2*(L-x)</v>
      </c>
      <c r="V27" s="75"/>
      <c r="W27" s="75"/>
      <c r="AH27" s="12" t="s">
        <v>49</v>
      </c>
      <c r="AI27" s="13">
        <v>4.5</v>
      </c>
      <c r="AJ27" s="14">
        <v>7</v>
      </c>
      <c r="AK27" s="14">
        <v>0.252</v>
      </c>
      <c r="AL27" s="14">
        <v>3.662</v>
      </c>
      <c r="AM27" s="14">
        <v>0.392</v>
      </c>
      <c r="AN27" s="14">
        <v>0.9375</v>
      </c>
      <c r="AO27" s="14">
        <v>0.87</v>
      </c>
      <c r="AP27" s="14">
        <v>4.88</v>
      </c>
      <c r="AQ27" s="14">
        <v>36.7</v>
      </c>
      <c r="AR27" s="14">
        <v>10.5</v>
      </c>
      <c r="AS27" s="14">
        <v>2.86</v>
      </c>
      <c r="AT27" s="14">
        <v>2.64</v>
      </c>
      <c r="AU27" s="14">
        <v>1.44</v>
      </c>
      <c r="AV27" s="14">
        <v>0.766</v>
      </c>
      <c r="AW27" s="213">
        <v>0.24</v>
      </c>
      <c r="AX27" s="213">
        <v>28.8</v>
      </c>
      <c r="AY27" s="126">
        <v>15.3</v>
      </c>
      <c r="BB27" s="269" t="s">
        <v>917</v>
      </c>
      <c r="BC27" s="27">
        <f>$C$16/($C$16+$C$13)</f>
        <v>0.15</v>
      </c>
      <c r="BE27" s="278" t="s">
        <v>914</v>
      </c>
      <c r="BF27" s="273" t="s">
        <v>907</v>
      </c>
      <c r="BG27" s="274" t="s">
        <v>930</v>
      </c>
    </row>
    <row r="28" spans="1:59" ht="12.75">
      <c r="A28" s="82" t="s">
        <v>11</v>
      </c>
      <c r="B28" s="202"/>
      <c r="C28" s="44"/>
      <c r="D28" s="44"/>
      <c r="E28" s="47" t="s">
        <v>950</v>
      </c>
      <c r="F28" s="6">
        <f>IF($C$16=0,$O$20,$O$23)</f>
        <v>9.130882352941176</v>
      </c>
      <c r="G28" s="295" t="str">
        <f>"= "&amp;IF($C$16=0,$R$20,$R$23)</f>
        <v>= Pv*(L+(Lo-S/2))/L+w/1000/(2*L)*(L+Lo)^2</v>
      </c>
      <c r="H28" s="44"/>
      <c r="I28" s="44"/>
      <c r="J28" s="76"/>
      <c r="L28" s="113"/>
      <c r="N28" s="136" t="s">
        <v>23</v>
      </c>
      <c r="O28" s="302">
        <f>IF(AND($C$24=4,$C$25&lt;(2-SQRT(2))*$C$13),($B$33/2)/(2*$C$13)*($C$13-$C$25/2)^2,IF(AND($C$24=4,$C$25&gt;=(2-SQRT(2))*$C$13),($B$33/2)*$C$13/4,IF($C$24=2,$B$33*$C$13/4)))</f>
        <v>2.43874080882353</v>
      </c>
      <c r="P28" s="155" t="s">
        <v>24</v>
      </c>
      <c r="Q28" s="301" t="str">
        <f>IF(AND($C$24=4,$C$25&lt;(2-SQRT(2))*$C$13),"My = (Ph/2)/(2*L)*(L-S/2)^2",IF(AND($C$24=4,$C$25&gt;=(2-SQRT(2))*$C$13),"My = (Ph/2)*L/4",IF($C$24=2,"My = Ph*L/4")))</f>
        <v>My = (Ph/2)/(2*L)*(L-S/2)^2</v>
      </c>
      <c r="V28" s="75"/>
      <c r="W28" s="75"/>
      <c r="AH28" s="12" t="s">
        <v>50</v>
      </c>
      <c r="AI28" s="22">
        <v>5.06</v>
      </c>
      <c r="AJ28" s="23">
        <v>6</v>
      </c>
      <c r="AK28" s="23">
        <v>0.465</v>
      </c>
      <c r="AL28" s="23">
        <v>3.57</v>
      </c>
      <c r="AM28" s="23">
        <v>0.359</v>
      </c>
      <c r="AN28" s="23">
        <v>0.8125</v>
      </c>
      <c r="AO28" s="14">
        <v>0.81</v>
      </c>
      <c r="AP28" s="14">
        <v>4.69</v>
      </c>
      <c r="AQ28" s="23">
        <v>26.2</v>
      </c>
      <c r="AR28" s="23">
        <v>8.74</v>
      </c>
      <c r="AS28" s="23">
        <v>2.28</v>
      </c>
      <c r="AT28" s="23">
        <v>2.29</v>
      </c>
      <c r="AU28" s="23">
        <v>1.28</v>
      </c>
      <c r="AV28" s="23">
        <v>0.673</v>
      </c>
      <c r="AW28" s="212">
        <v>0.371</v>
      </c>
      <c r="AX28" s="212">
        <v>18.2</v>
      </c>
      <c r="AY28" s="126">
        <v>17.25</v>
      </c>
      <c r="BB28" s="269" t="s">
        <v>919</v>
      </c>
      <c r="BC28" s="28">
        <f>($BG$40-$BG$39)*($BC$27-$BF$39)/($BF$40-$BF$39)+$BG$39</f>
        <v>0.715</v>
      </c>
      <c r="BE28" s="275">
        <v>1</v>
      </c>
      <c r="BF28" s="279">
        <v>0</v>
      </c>
      <c r="BG28" s="280">
        <v>0.67</v>
      </c>
    </row>
    <row r="29" spans="1:59" ht="12.75">
      <c r="A29" s="83"/>
      <c r="B29" s="44"/>
      <c r="C29" s="44"/>
      <c r="D29" s="44"/>
      <c r="E29" s="47" t="s">
        <v>949</v>
      </c>
      <c r="F29" s="294">
        <f>IF($C$16=0,$O$21,$O$24)</f>
        <v>-0.7308823529411764</v>
      </c>
      <c r="G29" s="295" t="str">
        <f>"= "&amp;IF($C$16=0,$R$21,$R$24)</f>
        <v>= -Pv*(Lo-S/2)/L+w/1000/(2*L)*(L^2-Lo^2)</v>
      </c>
      <c r="H29" s="44"/>
      <c r="I29" s="44"/>
      <c r="J29" s="76"/>
      <c r="L29" s="113"/>
      <c r="N29" s="153" t="s">
        <v>169</v>
      </c>
      <c r="T29" s="111" t="s">
        <v>933</v>
      </c>
      <c r="W29" s="75"/>
      <c r="AH29" s="12" t="s">
        <v>46</v>
      </c>
      <c r="AI29" s="22">
        <v>3.66</v>
      </c>
      <c r="AJ29" s="23">
        <v>6</v>
      </c>
      <c r="AK29" s="23">
        <v>0.232</v>
      </c>
      <c r="AL29" s="23">
        <v>3.33</v>
      </c>
      <c r="AM29" s="23">
        <v>0.359</v>
      </c>
      <c r="AN29" s="23">
        <v>0.8125</v>
      </c>
      <c r="AO29" s="14">
        <v>0.79</v>
      </c>
      <c r="AP29" s="14">
        <v>5.02</v>
      </c>
      <c r="AQ29" s="23">
        <v>22</v>
      </c>
      <c r="AR29" s="23">
        <v>7.34</v>
      </c>
      <c r="AS29" s="23">
        <v>2.45</v>
      </c>
      <c r="AT29" s="23">
        <v>1.8</v>
      </c>
      <c r="AU29" s="23">
        <v>1.08</v>
      </c>
      <c r="AV29" s="23">
        <v>0.702</v>
      </c>
      <c r="AW29" s="212">
        <v>0.167</v>
      </c>
      <c r="AX29" s="212">
        <v>14.3</v>
      </c>
      <c r="AY29" s="126">
        <v>12.5</v>
      </c>
      <c r="BE29" s="275">
        <v>2</v>
      </c>
      <c r="BF29" s="281">
        <v>0.1</v>
      </c>
      <c r="BG29" s="282">
        <v>0.7</v>
      </c>
    </row>
    <row r="30" spans="1:59" ht="12.75">
      <c r="A30" s="84" t="s">
        <v>82</v>
      </c>
      <c r="B30" s="44"/>
      <c r="C30" s="44"/>
      <c r="D30" s="44"/>
      <c r="E30" s="44"/>
      <c r="F30" s="44"/>
      <c r="G30" s="44"/>
      <c r="H30" s="44"/>
      <c r="I30" s="44"/>
      <c r="J30" s="76"/>
      <c r="L30" s="113"/>
      <c r="N30" s="115" t="s">
        <v>158</v>
      </c>
      <c r="O30" s="1">
        <f>$F$20/2</f>
        <v>6</v>
      </c>
      <c r="P30" s="155" t="s">
        <v>8</v>
      </c>
      <c r="Q30" s="78" t="s">
        <v>165</v>
      </c>
      <c r="R30" s="78"/>
      <c r="W30" s="75"/>
      <c r="AH30" s="12" t="s">
        <v>48</v>
      </c>
      <c r="AI30" s="13">
        <v>4.34</v>
      </c>
      <c r="AJ30" s="14">
        <v>5</v>
      </c>
      <c r="AK30" s="14">
        <v>0.494</v>
      </c>
      <c r="AL30" s="14">
        <v>3.284</v>
      </c>
      <c r="AM30" s="14">
        <v>0.326</v>
      </c>
      <c r="AN30" s="14">
        <v>0.8125</v>
      </c>
      <c r="AO30" s="14">
        <v>0.74</v>
      </c>
      <c r="AP30" s="14">
        <v>4.66</v>
      </c>
      <c r="AQ30" s="14">
        <v>15.2</v>
      </c>
      <c r="AR30" s="14">
        <v>6.09</v>
      </c>
      <c r="AS30" s="14">
        <v>1.87</v>
      </c>
      <c r="AT30" s="14">
        <v>1.67</v>
      </c>
      <c r="AU30" s="14">
        <v>1.01</v>
      </c>
      <c r="AV30" s="14">
        <v>0.62</v>
      </c>
      <c r="AW30" s="213">
        <v>0.32</v>
      </c>
      <c r="AX30" s="213">
        <v>9.12</v>
      </c>
      <c r="AY30" s="126">
        <v>14.75</v>
      </c>
      <c r="BE30" s="275">
        <v>3</v>
      </c>
      <c r="BF30" s="281">
        <v>0.2</v>
      </c>
      <c r="BG30" s="282">
        <v>0.73</v>
      </c>
    </row>
    <row r="31" spans="1:59" ht="12.75">
      <c r="A31" s="85" t="s">
        <v>132</v>
      </c>
      <c r="B31" s="26">
        <f>$O$5</f>
        <v>7.3999999999999995</v>
      </c>
      <c r="C31" s="96" t="s">
        <v>7</v>
      </c>
      <c r="D31" s="44" t="str">
        <f>$Q$5</f>
        <v>Pv = P*(1+Vi/100)+Wt+Wh (vertical load)</v>
      </c>
      <c r="E31" s="44"/>
      <c r="F31" s="44"/>
      <c r="G31" s="44"/>
      <c r="H31" s="44"/>
      <c r="I31" s="44"/>
      <c r="J31" s="76"/>
      <c r="L31" s="113"/>
      <c r="N31" s="115" t="s">
        <v>160</v>
      </c>
      <c r="O31" s="1">
        <f>SQRT(29000*$I$25/($I$24*11200))</f>
        <v>21.662170094491497</v>
      </c>
      <c r="Q31" s="78" t="s">
        <v>161</v>
      </c>
      <c r="R31" s="78"/>
      <c r="W31" s="75"/>
      <c r="AH31" s="12" t="s">
        <v>45</v>
      </c>
      <c r="AI31" s="22">
        <v>2.93</v>
      </c>
      <c r="AJ31" s="23">
        <v>5</v>
      </c>
      <c r="AK31" s="23">
        <v>0.214</v>
      </c>
      <c r="AL31" s="23">
        <v>3</v>
      </c>
      <c r="AM31" s="23">
        <v>0.326</v>
      </c>
      <c r="AN31" s="23">
        <v>0.75</v>
      </c>
      <c r="AO31" s="14">
        <v>0.72</v>
      </c>
      <c r="AP31" s="14">
        <v>5.1</v>
      </c>
      <c r="AQ31" s="23">
        <v>12.3</v>
      </c>
      <c r="AR31" s="23">
        <v>4.9</v>
      </c>
      <c r="AS31" s="23">
        <v>2.05</v>
      </c>
      <c r="AT31" s="23">
        <v>1.19</v>
      </c>
      <c r="AU31" s="23">
        <v>0.795</v>
      </c>
      <c r="AV31" s="23">
        <v>0.638</v>
      </c>
      <c r="AW31" s="212">
        <v>0.114</v>
      </c>
      <c r="AX31" s="212">
        <v>6.5</v>
      </c>
      <c r="AY31" s="126">
        <v>10</v>
      </c>
      <c r="BE31" s="275">
        <v>4</v>
      </c>
      <c r="BF31" s="281">
        <v>0.3</v>
      </c>
      <c r="BG31" s="282">
        <v>0.76</v>
      </c>
    </row>
    <row r="32" spans="1:59" ht="12.75">
      <c r="A32" s="85" t="s">
        <v>234</v>
      </c>
      <c r="B32" s="27">
        <f>$O$6</f>
        <v>1.8499999999999999</v>
      </c>
      <c r="C32" s="96" t="s">
        <v>12</v>
      </c>
      <c r="D32" s="44" t="str">
        <f>$Q$6</f>
        <v>Pw = Pv/Nw (load per trolley wheel)</v>
      </c>
      <c r="E32" s="44"/>
      <c r="F32" s="44"/>
      <c r="G32" s="44"/>
      <c r="H32" s="44"/>
      <c r="I32" s="44"/>
      <c r="J32" s="76"/>
      <c r="L32" s="113"/>
      <c r="N32" s="115" t="s">
        <v>159</v>
      </c>
      <c r="O32" s="75">
        <f>$B$33*$O$30*$O$31/(2*($F$20-$F$23))*TANH($C$13*12/(2*$O$31))/12</f>
        <v>0.28646479175745687</v>
      </c>
      <c r="P32" s="155" t="s">
        <v>24</v>
      </c>
      <c r="Q32" s="78" t="s">
        <v>162</v>
      </c>
      <c r="R32" s="78"/>
      <c r="W32" s="75"/>
      <c r="AH32" s="12" t="s">
        <v>44</v>
      </c>
      <c r="AI32" s="22">
        <v>2.79</v>
      </c>
      <c r="AJ32" s="23">
        <v>4</v>
      </c>
      <c r="AK32" s="23">
        <v>0.326</v>
      </c>
      <c r="AL32" s="23">
        <v>2.8</v>
      </c>
      <c r="AM32" s="23">
        <v>0.293</v>
      </c>
      <c r="AN32" s="23">
        <v>0.75</v>
      </c>
      <c r="AO32" s="14">
        <v>0.65</v>
      </c>
      <c r="AP32" s="14">
        <v>4.88</v>
      </c>
      <c r="AQ32" s="23">
        <v>6.76</v>
      </c>
      <c r="AR32" s="23">
        <v>3.38</v>
      </c>
      <c r="AS32" s="23">
        <v>1.56</v>
      </c>
      <c r="AT32" s="23">
        <v>0.887</v>
      </c>
      <c r="AU32" s="23">
        <v>0.635</v>
      </c>
      <c r="AV32" s="23">
        <v>0.564</v>
      </c>
      <c r="AW32" s="212">
        <v>0.12</v>
      </c>
      <c r="AX32" s="212">
        <v>3.05</v>
      </c>
      <c r="AY32" s="126">
        <v>9.5</v>
      </c>
      <c r="BE32" s="275">
        <v>5</v>
      </c>
      <c r="BF32" s="281">
        <v>0.4</v>
      </c>
      <c r="BG32" s="282">
        <v>0.8</v>
      </c>
    </row>
    <row r="33" spans="1:59" ht="12.75">
      <c r="A33" s="85" t="s">
        <v>133</v>
      </c>
      <c r="B33" s="135">
        <f>$O$7</f>
        <v>0.6000000000000001</v>
      </c>
      <c r="C33" s="96" t="s">
        <v>7</v>
      </c>
      <c r="D33" s="44" t="str">
        <f>$Q$7</f>
        <v>Ph = HLF*P (horizontal load)</v>
      </c>
      <c r="E33" s="44"/>
      <c r="F33" s="44"/>
      <c r="G33" s="44"/>
      <c r="H33" s="44"/>
      <c r="I33" s="44"/>
      <c r="J33" s="76"/>
      <c r="L33" s="113"/>
      <c r="N33" s="108" t="s">
        <v>236</v>
      </c>
      <c r="V33" s="75"/>
      <c r="W33" s="75"/>
      <c r="AH33" s="12" t="s">
        <v>43</v>
      </c>
      <c r="AI33" s="22">
        <v>2.26</v>
      </c>
      <c r="AJ33" s="23">
        <v>4</v>
      </c>
      <c r="AK33" s="23">
        <v>0.193</v>
      </c>
      <c r="AL33" s="23">
        <v>2.66</v>
      </c>
      <c r="AM33" s="23">
        <v>0.293</v>
      </c>
      <c r="AN33" s="23">
        <v>0.75</v>
      </c>
      <c r="AO33" s="14">
        <v>0.64</v>
      </c>
      <c r="AP33" s="14">
        <v>5.13</v>
      </c>
      <c r="AQ33" s="23">
        <v>6.05</v>
      </c>
      <c r="AR33" s="23">
        <v>3.03</v>
      </c>
      <c r="AS33" s="23">
        <v>1.64</v>
      </c>
      <c r="AT33" s="23">
        <v>0.748</v>
      </c>
      <c r="AU33" s="23">
        <v>0.562</v>
      </c>
      <c r="AV33" s="23">
        <v>0.576</v>
      </c>
      <c r="AW33" s="212">
        <v>0.0732</v>
      </c>
      <c r="AX33" s="212">
        <v>2.57</v>
      </c>
      <c r="AY33" s="126">
        <v>7.7</v>
      </c>
      <c r="BE33" s="275">
        <v>6</v>
      </c>
      <c r="BF33" s="281">
        <v>0.5</v>
      </c>
      <c r="BG33" s="282">
        <v>0.84</v>
      </c>
    </row>
    <row r="34" spans="1:59" ht="12.75">
      <c r="A34" s="85" t="s">
        <v>5</v>
      </c>
      <c r="B34" s="27">
        <f>$O$8</f>
        <v>0.49316666666666664</v>
      </c>
      <c r="C34" s="96" t="s">
        <v>8</v>
      </c>
      <c r="D34" s="44" t="str">
        <f>$Q$8</f>
        <v>ta = tf-bf/24+a/6  (for S-shape)</v>
      </c>
      <c r="E34" s="44"/>
      <c r="F34" s="44"/>
      <c r="G34" s="44"/>
      <c r="H34" s="44"/>
      <c r="I34" s="44"/>
      <c r="J34" s="76"/>
      <c r="L34" s="107"/>
      <c r="N34" s="115" t="s">
        <v>25</v>
      </c>
      <c r="O34" s="75">
        <f>$O$27*12/$I$21</f>
        <v>7.561227131045105</v>
      </c>
      <c r="P34" s="156" t="s">
        <v>9</v>
      </c>
      <c r="Q34" s="123" t="s">
        <v>129</v>
      </c>
      <c r="U34" s="1"/>
      <c r="V34" s="75"/>
      <c r="W34" s="75"/>
      <c r="AH34" s="12" t="s">
        <v>42</v>
      </c>
      <c r="AI34" s="22">
        <v>2.2</v>
      </c>
      <c r="AJ34" s="23">
        <v>3</v>
      </c>
      <c r="AK34" s="23">
        <v>0.349</v>
      </c>
      <c r="AL34" s="23">
        <v>2.51</v>
      </c>
      <c r="AM34" s="23">
        <v>0.26</v>
      </c>
      <c r="AN34" s="23">
        <v>0.625</v>
      </c>
      <c r="AO34" s="14">
        <v>0.59</v>
      </c>
      <c r="AP34" s="14">
        <v>4.6</v>
      </c>
      <c r="AQ34" s="23">
        <v>2.91</v>
      </c>
      <c r="AR34" s="23">
        <v>1.94</v>
      </c>
      <c r="AS34" s="23">
        <v>1.15</v>
      </c>
      <c r="AT34" s="23">
        <v>0.578</v>
      </c>
      <c r="AU34" s="23">
        <v>0.461</v>
      </c>
      <c r="AV34" s="23">
        <v>0.513</v>
      </c>
      <c r="AW34" s="212">
        <v>0.0896</v>
      </c>
      <c r="AX34" s="212">
        <v>1.08</v>
      </c>
      <c r="AY34" s="126">
        <v>7.5</v>
      </c>
      <c r="BE34" s="275">
        <v>7</v>
      </c>
      <c r="BF34" s="281">
        <v>0.6</v>
      </c>
      <c r="BG34" s="282">
        <v>0.9</v>
      </c>
    </row>
    <row r="35" spans="1:59" ht="12.75">
      <c r="A35" s="86" t="s">
        <v>0</v>
      </c>
      <c r="B35" s="27">
        <f>$O$9</f>
        <v>0.15647819737116628</v>
      </c>
      <c r="C35" s="96"/>
      <c r="D35" s="97" t="s">
        <v>73</v>
      </c>
      <c r="E35" s="44"/>
      <c r="F35" s="44"/>
      <c r="G35" s="44"/>
      <c r="H35" s="44"/>
      <c r="I35" s="44"/>
      <c r="J35" s="76"/>
      <c r="L35" s="107"/>
      <c r="N35" s="113" t="s">
        <v>102</v>
      </c>
      <c r="O35" s="79">
        <f>MIN((76*$F$22/SQRT($C$12))/12,(20000/($I$19*$C$12))/12)</f>
        <v>5.784444444444445</v>
      </c>
      <c r="P35" s="156" t="s">
        <v>90</v>
      </c>
      <c r="Q35" s="123" t="s">
        <v>163</v>
      </c>
      <c r="R35" s="78"/>
      <c r="U35" s="1"/>
      <c r="W35" s="75"/>
      <c r="AH35" s="18" t="s">
        <v>41</v>
      </c>
      <c r="AI35" s="24">
        <v>1.66</v>
      </c>
      <c r="AJ35" s="25">
        <v>3</v>
      </c>
      <c r="AK35" s="25">
        <v>0.17</v>
      </c>
      <c r="AL35" s="25">
        <v>2.33</v>
      </c>
      <c r="AM35" s="25">
        <v>0.26</v>
      </c>
      <c r="AN35" s="25">
        <v>0.625</v>
      </c>
      <c r="AO35" s="19">
        <v>0.57</v>
      </c>
      <c r="AP35" s="19">
        <v>4.95</v>
      </c>
      <c r="AQ35" s="25">
        <v>2.5</v>
      </c>
      <c r="AR35" s="25">
        <v>1.67</v>
      </c>
      <c r="AS35" s="25">
        <v>1.23</v>
      </c>
      <c r="AT35" s="25">
        <v>0.447</v>
      </c>
      <c r="AU35" s="25">
        <v>0.383</v>
      </c>
      <c r="AV35" s="25">
        <v>0.518</v>
      </c>
      <c r="AW35" s="214">
        <v>0.0433</v>
      </c>
      <c r="AX35" s="214">
        <v>0.839</v>
      </c>
      <c r="AY35" s="127">
        <v>5.7</v>
      </c>
      <c r="BE35" s="275">
        <v>8</v>
      </c>
      <c r="BF35" s="281">
        <v>0.7</v>
      </c>
      <c r="BG35" s="282">
        <v>0.96</v>
      </c>
    </row>
    <row r="36" spans="1:59" ht="12.75">
      <c r="A36" s="85" t="s">
        <v>2</v>
      </c>
      <c r="B36" s="27">
        <f>$O$10</f>
        <v>-0.8495709697198179</v>
      </c>
      <c r="C36" s="96"/>
      <c r="D36" s="46" t="s">
        <v>866</v>
      </c>
      <c r="E36" s="44"/>
      <c r="F36" s="44"/>
      <c r="G36" s="44"/>
      <c r="H36" s="44"/>
      <c r="I36" s="44"/>
      <c r="J36" s="76"/>
      <c r="L36" s="107"/>
      <c r="N36" s="113" t="s">
        <v>103</v>
      </c>
      <c r="O36" s="79">
        <f>MAX((20000/($I$19*$C$12))/12,(SQRT(102000/$C$12)*$F$25)/12)</f>
        <v>13.94466755912539</v>
      </c>
      <c r="P36" s="156" t="s">
        <v>90</v>
      </c>
      <c r="Q36" s="119" t="s">
        <v>164</v>
      </c>
      <c r="R36" s="78"/>
      <c r="S36" s="78"/>
      <c r="T36" s="78"/>
      <c r="U36" s="1"/>
      <c r="V36" s="75"/>
      <c r="W36" s="75"/>
      <c r="AH36" s="106"/>
      <c r="AI36" s="129"/>
      <c r="AJ36" s="129"/>
      <c r="AK36" s="129"/>
      <c r="AL36" s="129"/>
      <c r="AM36" s="129"/>
      <c r="AN36" s="129"/>
      <c r="AO36" s="129"/>
      <c r="AP36" s="129"/>
      <c r="AQ36" s="129"/>
      <c r="AR36" s="129"/>
      <c r="AS36" s="129"/>
      <c r="AT36" s="129"/>
      <c r="AU36" s="129"/>
      <c r="AV36" s="129"/>
      <c r="AW36" s="70"/>
      <c r="BE36" s="275">
        <v>9</v>
      </c>
      <c r="BF36" s="281">
        <v>0.8</v>
      </c>
      <c r="BG36" s="282">
        <v>1.05</v>
      </c>
    </row>
    <row r="37" spans="1:59" ht="12.75">
      <c r="A37" s="85" t="s">
        <v>6</v>
      </c>
      <c r="B37" s="27">
        <f>$O$11</f>
        <v>0.5995331320427706</v>
      </c>
      <c r="C37" s="96"/>
      <c r="D37" s="46" t="s">
        <v>244</v>
      </c>
      <c r="E37" s="44"/>
      <c r="F37" s="44"/>
      <c r="G37" s="44"/>
      <c r="H37" s="44"/>
      <c r="I37" s="44"/>
      <c r="J37" s="76"/>
      <c r="L37" s="161"/>
      <c r="N37" s="113" t="s">
        <v>104</v>
      </c>
      <c r="O37" s="79">
        <f>IF($C$14&lt;=1,1*12/$F$25,$C$14*12/$F$25)</f>
        <v>163.2</v>
      </c>
      <c r="P37" s="77"/>
      <c r="Q37" s="78" t="s">
        <v>116</v>
      </c>
      <c r="S37" s="78"/>
      <c r="T37" s="78"/>
      <c r="U37" s="1"/>
      <c r="V37" s="75"/>
      <c r="W37" s="75"/>
      <c r="AH37" s="106"/>
      <c r="AI37" s="129"/>
      <c r="AJ37" s="129"/>
      <c r="AK37" s="129"/>
      <c r="AL37" s="129"/>
      <c r="AM37" s="129"/>
      <c r="AN37" s="129"/>
      <c r="AO37" s="129"/>
      <c r="AP37" s="129"/>
      <c r="AQ37" s="129"/>
      <c r="AR37" s="129"/>
      <c r="AS37" s="129"/>
      <c r="AT37" s="129"/>
      <c r="AU37" s="129"/>
      <c r="AV37" s="129"/>
      <c r="AW37" s="70"/>
      <c r="BE37" s="275">
        <v>10</v>
      </c>
      <c r="BF37" s="281">
        <v>0.9</v>
      </c>
      <c r="BG37" s="282">
        <v>1.15</v>
      </c>
    </row>
    <row r="38" spans="1:59" ht="12.75" customHeight="1">
      <c r="A38" s="85" t="s">
        <v>245</v>
      </c>
      <c r="B38" s="27">
        <f>$O$12</f>
        <v>0.1649621319713066</v>
      </c>
      <c r="C38" s="96"/>
      <c r="D38" s="46" t="s">
        <v>868</v>
      </c>
      <c r="E38" s="44"/>
      <c r="F38" s="44"/>
      <c r="G38" s="44"/>
      <c r="H38" s="44"/>
      <c r="I38" s="44"/>
      <c r="J38" s="76"/>
      <c r="L38" s="107"/>
      <c r="N38" s="115" t="s">
        <v>105</v>
      </c>
      <c r="O38" s="1">
        <f>0</f>
        <v>0</v>
      </c>
      <c r="P38" s="77"/>
      <c r="Q38" s="290" t="s">
        <v>937</v>
      </c>
      <c r="R38" s="78"/>
      <c r="S38" s="78"/>
      <c r="T38" s="78"/>
      <c r="U38" s="1"/>
      <c r="V38" s="75"/>
      <c r="AH38" s="106"/>
      <c r="AI38" s="129"/>
      <c r="AJ38" s="129"/>
      <c r="AK38" s="129"/>
      <c r="AL38" s="129"/>
      <c r="AM38" s="129"/>
      <c r="AN38" s="129"/>
      <c r="AO38" s="129"/>
      <c r="AP38" s="129"/>
      <c r="AQ38" s="129"/>
      <c r="AR38" s="129"/>
      <c r="AS38" s="129"/>
      <c r="AT38" s="129"/>
      <c r="AU38" s="129"/>
      <c r="AV38" s="129"/>
      <c r="AW38" s="70"/>
      <c r="BE38" s="275">
        <v>11</v>
      </c>
      <c r="BF38" s="283">
        <v>1</v>
      </c>
      <c r="BG38" s="284">
        <v>1.28</v>
      </c>
    </row>
    <row r="39" spans="1:59" ht="12.75">
      <c r="A39" s="85" t="s">
        <v>246</v>
      </c>
      <c r="B39" s="28">
        <f>$O$13</f>
        <v>1.947761042145803</v>
      </c>
      <c r="C39" s="96"/>
      <c r="D39" s="46" t="s">
        <v>867</v>
      </c>
      <c r="E39" s="44"/>
      <c r="F39" s="44"/>
      <c r="G39" s="48"/>
      <c r="H39" s="44"/>
      <c r="I39" s="44"/>
      <c r="J39" s="76"/>
      <c r="L39" s="107"/>
      <c r="M39" s="111"/>
      <c r="N39" s="115" t="s">
        <v>107</v>
      </c>
      <c r="O39" s="72" t="str">
        <f>IF($C$14&lt;=$O$35,"Yes","No")</f>
        <v>No</v>
      </c>
      <c r="P39" s="156"/>
      <c r="R39" s="78"/>
      <c r="S39" s="78"/>
      <c r="T39" s="78"/>
      <c r="U39" s="1"/>
      <c r="V39" s="75"/>
      <c r="W39" s="78"/>
      <c r="AH39" s="106"/>
      <c r="AI39" s="129"/>
      <c r="AJ39" s="129"/>
      <c r="AK39" s="129"/>
      <c r="AL39" s="129"/>
      <c r="AM39" s="129"/>
      <c r="AN39" s="129"/>
      <c r="AO39" s="129"/>
      <c r="AP39" s="129"/>
      <c r="AQ39" s="129"/>
      <c r="AR39" s="129"/>
      <c r="AS39" s="129"/>
      <c r="AT39" s="129"/>
      <c r="AU39" s="129"/>
      <c r="AV39" s="129"/>
      <c r="AW39" s="70"/>
      <c r="BE39" s="276">
        <f>MATCH($BG$39,$BG$28:$BG$38)</f>
        <v>2</v>
      </c>
      <c r="BF39" s="285">
        <f>VLOOKUP($BE$39,$BE$28:$BG$38,2)</f>
        <v>0.1</v>
      </c>
      <c r="BG39" s="286">
        <f>VLOOKUP($BC$27,$BF$28:$BG$38,2)</f>
        <v>0.7</v>
      </c>
    </row>
    <row r="40" spans="1:59" ht="12.75">
      <c r="A40" s="83"/>
      <c r="B40" s="44"/>
      <c r="C40" s="44"/>
      <c r="D40" s="44"/>
      <c r="E40" s="44"/>
      <c r="F40" s="44"/>
      <c r="G40" s="44"/>
      <c r="H40" s="44"/>
      <c r="I40" s="44"/>
      <c r="J40" s="76"/>
      <c r="L40" s="107"/>
      <c r="N40" s="115" t="s">
        <v>108</v>
      </c>
      <c r="O40" s="72" t="str">
        <f>IF($O$38&lt;=0.16,IF($O$16&lt;=640/SQRT($C$12)*(1-3.74*$O$38),"Yes","No"),IF($O$16&lt;=257/SQRT($C$12),"Yes","No"))</f>
        <v>Yes</v>
      </c>
      <c r="P40" s="77"/>
      <c r="Q40" s="123"/>
      <c r="R40" s="78"/>
      <c r="S40" s="78"/>
      <c r="T40" s="78"/>
      <c r="U40" s="1"/>
      <c r="V40" s="75"/>
      <c r="W40" s="78"/>
      <c r="AH40" s="106"/>
      <c r="AI40" s="129"/>
      <c r="AJ40" s="129"/>
      <c r="AK40" s="129"/>
      <c r="AL40" s="129"/>
      <c r="AM40" s="129"/>
      <c r="AN40" s="129"/>
      <c r="AO40" s="129"/>
      <c r="AP40" s="129"/>
      <c r="AQ40" s="129"/>
      <c r="AR40" s="129"/>
      <c r="AS40" s="129"/>
      <c r="AT40" s="129"/>
      <c r="AU40" s="129"/>
      <c r="AV40" s="129"/>
      <c r="AW40" s="70"/>
      <c r="BE40" s="277">
        <f>IF($BE$39&lt;=10,$BE$39+1,IF($B$40=11,11))</f>
        <v>3</v>
      </c>
      <c r="BF40" s="285">
        <f>VLOOKUP($BE$40,$BE$28:$BG$38,2)</f>
        <v>0.2</v>
      </c>
      <c r="BG40" s="286">
        <f>VLOOKUP($BE$40,$BE$28:$BG$38,3)</f>
        <v>0.73</v>
      </c>
    </row>
    <row r="41" spans="1:49" ht="12.75">
      <c r="A41" s="84" t="s">
        <v>232</v>
      </c>
      <c r="B41" s="47"/>
      <c r="C41" s="73"/>
      <c r="D41" s="46"/>
      <c r="E41" s="50"/>
      <c r="F41" s="44"/>
      <c r="G41" s="44"/>
      <c r="H41" s="44"/>
      <c r="I41" s="44"/>
      <c r="J41" s="76"/>
      <c r="L41" s="107"/>
      <c r="M41" s="81"/>
      <c r="N41" s="115" t="s">
        <v>110</v>
      </c>
      <c r="O41" s="70" t="str">
        <f>IF($O$15&lt;=65/SQRT($C$12),"Yes","No")</f>
        <v>Yes</v>
      </c>
      <c r="P41" s="77"/>
      <c r="Q41" s="123"/>
      <c r="R41" s="78"/>
      <c r="S41" s="78"/>
      <c r="T41" s="78"/>
      <c r="U41" s="1"/>
      <c r="V41" s="75"/>
      <c r="W41" s="78"/>
      <c r="AH41" s="106"/>
      <c r="AI41" s="129"/>
      <c r="AJ41" s="129"/>
      <c r="AK41" s="129"/>
      <c r="AL41" s="129"/>
      <c r="AM41" s="129"/>
      <c r="AN41" s="129"/>
      <c r="AO41" s="129"/>
      <c r="AP41" s="129"/>
      <c r="AQ41" s="129"/>
      <c r="AR41" s="129"/>
      <c r="AS41" s="129"/>
      <c r="AT41" s="129"/>
      <c r="AU41" s="129"/>
      <c r="AV41" s="129"/>
      <c r="AW41" s="70"/>
    </row>
    <row r="42" spans="1:49" ht="12.75">
      <c r="A42" s="85" t="s">
        <v>134</v>
      </c>
      <c r="B42" s="26">
        <f>$O$26</f>
        <v>8.3125</v>
      </c>
      <c r="C42" s="96" t="s">
        <v>90</v>
      </c>
      <c r="D42" s="48" t="str">
        <f>$Q$26</f>
        <v>x = 1/2*(L-S/2) (location of max. moments from left end of simple-span)</v>
      </c>
      <c r="E42" s="44"/>
      <c r="F42" s="44"/>
      <c r="G42" s="44"/>
      <c r="H42" s="44"/>
      <c r="I42" s="44"/>
      <c r="J42" s="76"/>
      <c r="L42" s="107"/>
      <c r="M42" s="81"/>
      <c r="N42" s="115" t="s">
        <v>111</v>
      </c>
      <c r="O42" s="70" t="str">
        <f>IF($O$15&gt;95/SQRT($C$12),"Yes","No")</f>
        <v>No</v>
      </c>
      <c r="P42" s="77"/>
      <c r="Q42" s="123"/>
      <c r="R42" s="78"/>
      <c r="S42" s="78"/>
      <c r="T42" s="78"/>
      <c r="U42" s="1"/>
      <c r="W42" s="306" t="s">
        <v>981</v>
      </c>
      <c r="X42" s="306"/>
      <c r="Y42" s="306"/>
      <c r="Z42" s="306"/>
      <c r="AA42" s="306"/>
      <c r="AB42" s="306"/>
      <c r="AC42" s="306"/>
      <c r="AD42" s="306"/>
      <c r="AE42" s="306"/>
      <c r="AH42" s="106"/>
      <c r="AI42" s="129"/>
      <c r="AJ42" s="129"/>
      <c r="AK42" s="129"/>
      <c r="AL42" s="129"/>
      <c r="AM42" s="129"/>
      <c r="AN42" s="129"/>
      <c r="AO42" s="129"/>
      <c r="AP42" s="129"/>
      <c r="AQ42" s="129"/>
      <c r="AR42" s="129"/>
      <c r="AS42" s="129"/>
      <c r="AT42" s="129"/>
      <c r="AU42" s="129"/>
      <c r="AV42" s="129"/>
      <c r="AW42" s="70"/>
    </row>
    <row r="43" spans="1:49" ht="12.75">
      <c r="A43" s="85" t="s">
        <v>22</v>
      </c>
      <c r="B43" s="17">
        <f>$O$27</f>
        <v>31.883174402573527</v>
      </c>
      <c r="C43" s="96" t="s">
        <v>24</v>
      </c>
      <c r="D43" s="48" t="str">
        <f>$Q$27</f>
        <v>Mx = (Pv/2)/(2*L)*(L-S/2)^2+w/1000*x/2*(L-x)</v>
      </c>
      <c r="E43" s="44"/>
      <c r="F43" s="44"/>
      <c r="G43" s="44"/>
      <c r="H43" s="44"/>
      <c r="I43" s="44"/>
      <c r="J43" s="76"/>
      <c r="K43" s="80"/>
      <c r="L43" s="107"/>
      <c r="M43" s="81"/>
      <c r="N43" s="115" t="s">
        <v>109</v>
      </c>
      <c r="O43" s="72" t="str">
        <f>IF(AND($O$39="Yes",$O$40="Yes",$O$41="Yes"),0.66*$C$12,"N.A.")</f>
        <v>N.A.</v>
      </c>
      <c r="P43" s="156" t="s">
        <v>117</v>
      </c>
      <c r="Q43" s="123" t="s">
        <v>122</v>
      </c>
      <c r="S43" s="78"/>
      <c r="T43" s="78"/>
      <c r="U43" s="1"/>
      <c r="V43" s="68"/>
      <c r="W43" s="307" t="s">
        <v>908</v>
      </c>
      <c r="X43" s="308"/>
      <c r="Y43" s="308"/>
      <c r="Z43" s="308"/>
      <c r="AA43" s="308"/>
      <c r="AB43" s="308"/>
      <c r="AC43" s="308"/>
      <c r="AD43" s="308"/>
      <c r="AE43" s="309"/>
      <c r="AH43" s="106"/>
      <c r="AI43" s="129"/>
      <c r="AJ43" s="129"/>
      <c r="AK43" s="129"/>
      <c r="AL43" s="129"/>
      <c r="AM43" s="129"/>
      <c r="AN43" s="129"/>
      <c r="AO43" s="129"/>
      <c r="AP43" s="129"/>
      <c r="AQ43" s="129"/>
      <c r="AR43" s="129"/>
      <c r="AS43" s="129"/>
      <c r="AT43" s="129"/>
      <c r="AU43" s="129"/>
      <c r="AV43" s="129"/>
      <c r="AW43" s="70"/>
    </row>
    <row r="44" spans="1:49" ht="12.75">
      <c r="A44" s="85" t="s">
        <v>23</v>
      </c>
      <c r="B44" s="16">
        <f>$O$28</f>
        <v>2.43874080882353</v>
      </c>
      <c r="C44" s="96" t="s">
        <v>24</v>
      </c>
      <c r="D44" s="120" t="str">
        <f>$Q$28</f>
        <v>My = (Ph/2)/(2*L)*(L-S/2)^2</v>
      </c>
      <c r="E44" s="44"/>
      <c r="F44" s="44"/>
      <c r="G44" s="44"/>
      <c r="H44" s="44"/>
      <c r="I44" s="44"/>
      <c r="J44" s="76"/>
      <c r="L44" s="107"/>
      <c r="M44" s="81"/>
      <c r="N44" s="115" t="s">
        <v>109</v>
      </c>
      <c r="O44" s="75" t="str">
        <f>IF(AND($O$39="Yes",$O$40="Yes",$O$41="No",$O$42="No"),$C$12*(0.79-0.002*$O$15*SQRT($C$12)),"N.A.")</f>
        <v>N.A.</v>
      </c>
      <c r="P44" s="156" t="s">
        <v>123</v>
      </c>
      <c r="Q44" s="123" t="s">
        <v>124</v>
      </c>
      <c r="S44" s="78"/>
      <c r="T44" s="78"/>
      <c r="U44" s="1"/>
      <c r="V44" s="71"/>
      <c r="W44" s="310" t="s">
        <v>158</v>
      </c>
      <c r="X44" s="311">
        <f>$F$20/2</f>
        <v>6</v>
      </c>
      <c r="Y44" s="312" t="s">
        <v>8</v>
      </c>
      <c r="Z44" s="313" t="s">
        <v>187</v>
      </c>
      <c r="AA44" s="313"/>
      <c r="AB44" s="313"/>
      <c r="AC44" s="313"/>
      <c r="AD44" s="313"/>
      <c r="AE44" s="314"/>
      <c r="AH44" s="106"/>
      <c r="AI44" s="129"/>
      <c r="AJ44" s="129"/>
      <c r="AK44" s="129"/>
      <c r="AL44" s="129"/>
      <c r="AM44" s="129"/>
      <c r="AN44" s="129"/>
      <c r="AO44" s="129"/>
      <c r="AP44" s="129"/>
      <c r="AQ44" s="129"/>
      <c r="AR44" s="129"/>
      <c r="AS44" s="129"/>
      <c r="AT44" s="129"/>
      <c r="AU44" s="129"/>
      <c r="AV44" s="129"/>
      <c r="AW44" s="70"/>
    </row>
    <row r="45" spans="1:49" ht="12.75">
      <c r="A45" s="83"/>
      <c r="B45" s="44"/>
      <c r="C45" s="44"/>
      <c r="D45" s="44"/>
      <c r="E45" s="44"/>
      <c r="F45" s="44"/>
      <c r="G45" s="44"/>
      <c r="H45" s="44"/>
      <c r="I45" s="44"/>
      <c r="J45" s="76"/>
      <c r="K45" s="81"/>
      <c r="L45" s="107"/>
      <c r="M45" s="81"/>
      <c r="N45" s="115" t="s">
        <v>109</v>
      </c>
      <c r="O45" s="75" t="str">
        <f>IF($C$14&lt;=76*$F$22/SQRT($C$12)/12,IF(OR($O$40="No",$O$41="No",$O$42="Yes"),$O$17*0.6*$C$12,"N.A."),"N.A.")</f>
        <v>N.A.</v>
      </c>
      <c r="P45" s="156" t="s">
        <v>118</v>
      </c>
      <c r="Q45" s="123" t="s">
        <v>125</v>
      </c>
      <c r="S45" s="116"/>
      <c r="T45" s="78"/>
      <c r="V45" s="49"/>
      <c r="W45" s="310" t="s">
        <v>184</v>
      </c>
      <c r="X45" s="311">
        <f>$B$33*$X$44</f>
        <v>3.6000000000000005</v>
      </c>
      <c r="Y45" s="312" t="s">
        <v>186</v>
      </c>
      <c r="Z45" s="313" t="s">
        <v>188</v>
      </c>
      <c r="AA45" s="313"/>
      <c r="AB45" s="313"/>
      <c r="AC45" s="313"/>
      <c r="AD45" s="313"/>
      <c r="AE45" s="314"/>
      <c r="AH45" s="106"/>
      <c r="AI45" s="129"/>
      <c r="AJ45" s="129"/>
      <c r="AK45" s="129"/>
      <c r="AL45" s="129"/>
      <c r="AM45" s="129"/>
      <c r="AN45" s="129"/>
      <c r="AO45" s="129"/>
      <c r="AP45" s="129"/>
      <c r="AQ45" s="129"/>
      <c r="AR45" s="129"/>
      <c r="AS45" s="129"/>
      <c r="AT45" s="129"/>
      <c r="AU45" s="129"/>
      <c r="AV45" s="129"/>
      <c r="AW45" s="70"/>
    </row>
    <row r="46" spans="1:49" ht="12.75">
      <c r="A46" s="158" t="s">
        <v>169</v>
      </c>
      <c r="B46" s="157"/>
      <c r="C46" s="157"/>
      <c r="D46" s="157"/>
      <c r="E46" s="157"/>
      <c r="F46" s="157"/>
      <c r="G46" s="111" t="s">
        <v>933</v>
      </c>
      <c r="H46" s="44"/>
      <c r="I46" s="44"/>
      <c r="J46" s="76"/>
      <c r="K46" s="81"/>
      <c r="L46" s="107"/>
      <c r="M46" s="75"/>
      <c r="N46" s="115" t="s">
        <v>109</v>
      </c>
      <c r="O46" s="75" t="str">
        <f>IF($C$14&gt;$O$35,IF(OR($O$39="No",$O$40="No",$O$42="Yes"),IF(AND($O$37&gt;SQRT(102000*$C$15/$C$12),$O$37&lt;=SQRT(510000*$C$15/$C$12)),MIN((2/3-$C$12*$O$37^2/(1530000*$C$15))*$C$12,$O$17*0.6*$C$12),"N.A."),"N.A."),"N.A.")</f>
        <v>N.A.</v>
      </c>
      <c r="P46" s="77" t="s">
        <v>119</v>
      </c>
      <c r="Q46" s="123" t="s">
        <v>126</v>
      </c>
      <c r="S46" s="116"/>
      <c r="T46" s="78"/>
      <c r="V46" s="49"/>
      <c r="W46" s="310" t="s">
        <v>160</v>
      </c>
      <c r="X46" s="311">
        <f>SQRT(29000*$I$25/($I$24*11200))</f>
        <v>21.662170094491497</v>
      </c>
      <c r="Y46" s="312"/>
      <c r="Z46" s="313" t="s">
        <v>161</v>
      </c>
      <c r="AA46" s="313"/>
      <c r="AB46" s="313"/>
      <c r="AC46" s="313"/>
      <c r="AD46" s="313"/>
      <c r="AE46" s="314"/>
      <c r="AH46" s="106"/>
      <c r="AI46" s="129"/>
      <c r="AJ46" s="129"/>
      <c r="AK46" s="129"/>
      <c r="AL46" s="129"/>
      <c r="AM46" s="129"/>
      <c r="AN46" s="129"/>
      <c r="AO46" s="129"/>
      <c r="AP46" s="129"/>
      <c r="AQ46" s="129"/>
      <c r="AR46" s="129"/>
      <c r="AS46" s="129"/>
      <c r="AT46" s="129"/>
      <c r="AU46" s="129"/>
      <c r="AV46" s="129"/>
      <c r="AW46" s="70"/>
    </row>
    <row r="47" spans="1:49" ht="12.75">
      <c r="A47" s="159" t="s">
        <v>158</v>
      </c>
      <c r="B47" s="26">
        <f>$O$30</f>
        <v>6</v>
      </c>
      <c r="C47" s="172" t="s">
        <v>8</v>
      </c>
      <c r="D47" s="120" t="str">
        <f>$Q$30</f>
        <v>e = d/2 (assume horiz. load taken at bot. flange)</v>
      </c>
      <c r="E47" s="157"/>
      <c r="F47" s="157"/>
      <c r="G47" s="157"/>
      <c r="H47" s="44"/>
      <c r="I47" s="44"/>
      <c r="J47" s="76"/>
      <c r="K47" s="81"/>
      <c r="L47" s="107"/>
      <c r="M47" s="81"/>
      <c r="N47" s="115" t="s">
        <v>109</v>
      </c>
      <c r="O47" s="75">
        <f>IF($C$14&gt;$O$35,IF(OR($O$39="No",$O$40="No",$O$42="Yes"),IF(AND($O$37&gt;SQRT(102000*$C$15/$C$12),$O$37&gt;SQRT(510000*$C$15/$C$12)),MIN(170000*$C$15/$O$37^2,$O$17*0.6*$C$12),"N.A."),"N.A."),"N.A.")</f>
        <v>6.382761437908497</v>
      </c>
      <c r="P47" s="77" t="s">
        <v>120</v>
      </c>
      <c r="Q47" s="123" t="s">
        <v>127</v>
      </c>
      <c r="S47" s="116"/>
      <c r="T47" s="78"/>
      <c r="U47" s="71"/>
      <c r="V47" s="45"/>
      <c r="W47" s="310" t="s">
        <v>189</v>
      </c>
      <c r="X47" s="315">
        <f>($F$20-$F$23)*$F$22/4</f>
        <v>15.53717</v>
      </c>
      <c r="Y47" s="316" t="s">
        <v>17</v>
      </c>
      <c r="Z47" s="313" t="s">
        <v>190</v>
      </c>
      <c r="AA47" s="313"/>
      <c r="AB47" s="313"/>
      <c r="AC47" s="313"/>
      <c r="AD47" s="313"/>
      <c r="AE47" s="314"/>
      <c r="AH47" s="106"/>
      <c r="AI47" s="129"/>
      <c r="AJ47" s="129"/>
      <c r="AK47" s="129"/>
      <c r="AL47" s="129"/>
      <c r="AM47" s="129"/>
      <c r="AN47" s="129"/>
      <c r="AO47" s="129"/>
      <c r="AP47" s="129"/>
      <c r="AQ47" s="129"/>
      <c r="AR47" s="129"/>
      <c r="AS47" s="129"/>
      <c r="AT47" s="129"/>
      <c r="AU47" s="129"/>
      <c r="AV47" s="129"/>
      <c r="AW47" s="70"/>
    </row>
    <row r="48" spans="1:49" ht="12.75">
      <c r="A48" s="159" t="s">
        <v>160</v>
      </c>
      <c r="B48" s="27">
        <f>$O$31</f>
        <v>21.662170094491497</v>
      </c>
      <c r="C48" s="173"/>
      <c r="D48" s="120" t="str">
        <f>$Q$31</f>
        <v>at = SQRT(E*Cw/(J*G)) , E=29000 ksi  and  G=11200 ksi</v>
      </c>
      <c r="E48" s="157"/>
      <c r="F48" s="157"/>
      <c r="G48" s="157"/>
      <c r="H48" s="44"/>
      <c r="I48" s="44"/>
      <c r="J48" s="76"/>
      <c r="K48" s="81"/>
      <c r="L48" s="107"/>
      <c r="M48" s="81"/>
      <c r="N48" s="115" t="s">
        <v>109</v>
      </c>
      <c r="O48" s="75">
        <f>IF($C$14&gt;$O$35,IF(OR($O$39="No",$O$40="No",$O$42="Yes"),MIN(12000*$C$15/($C$14*12*$I$19),$O$17*0.6*$C$12),"N.A."),$O$17*0.6*$C$12)</f>
        <v>17.71793054571226</v>
      </c>
      <c r="P48" s="77" t="s">
        <v>121</v>
      </c>
      <c r="Q48" s="123" t="s">
        <v>957</v>
      </c>
      <c r="S48" s="78"/>
      <c r="T48" s="78"/>
      <c r="U48" s="49"/>
      <c r="V48" s="45"/>
      <c r="W48" s="317" t="s">
        <v>982</v>
      </c>
      <c r="X48" s="311">
        <f>0.5</f>
        <v>0.5</v>
      </c>
      <c r="Y48" s="312"/>
      <c r="Z48" s="318" t="s">
        <v>983</v>
      </c>
      <c r="AA48" s="313"/>
      <c r="AB48" s="313"/>
      <c r="AC48" s="313"/>
      <c r="AD48" s="313"/>
      <c r="AE48" s="314"/>
      <c r="AH48" s="106"/>
      <c r="AI48" s="129"/>
      <c r="AJ48" s="129"/>
      <c r="AK48" s="129"/>
      <c r="AL48" s="129"/>
      <c r="AM48" s="129"/>
      <c r="AN48" s="129"/>
      <c r="AO48" s="129"/>
      <c r="AP48" s="129"/>
      <c r="AQ48" s="129"/>
      <c r="AR48" s="129"/>
      <c r="AS48" s="129"/>
      <c r="AT48" s="129"/>
      <c r="AU48" s="129"/>
      <c r="AV48" s="129"/>
      <c r="AW48" s="70"/>
    </row>
    <row r="49" spans="1:49" ht="12.75">
      <c r="A49" s="159" t="s">
        <v>159</v>
      </c>
      <c r="B49" s="16">
        <f>$O$32</f>
        <v>0.28646479175745687</v>
      </c>
      <c r="C49" s="172" t="s">
        <v>24</v>
      </c>
      <c r="D49" s="120" t="str">
        <f>$Q$32</f>
        <v>Mt = Ph*e*at/(2*(d-tf))*TANH(L*12/(2*at))/12</v>
      </c>
      <c r="E49" s="157"/>
      <c r="F49" s="157"/>
      <c r="G49" s="157"/>
      <c r="H49" s="44"/>
      <c r="I49" s="44"/>
      <c r="J49" s="76"/>
      <c r="L49" s="107"/>
      <c r="M49" s="81"/>
      <c r="N49" s="115" t="s">
        <v>109</v>
      </c>
      <c r="O49" s="75">
        <f>IF($O$37&gt;SQRT(102000*$C$15/$C$12),IF($O$37&lt;=SQRT(510000*$C$15/$C$12),MIN(MAX($O$46,$O$48),$O$17*0.6*$C$12),MIN(MAX($O$47,$O$48),$O$17*0.6*$C$12)),$O$17*0.6*$C$12)</f>
        <v>17.71793054571226</v>
      </c>
      <c r="P49" s="77" t="s">
        <v>128</v>
      </c>
      <c r="Q49" s="78"/>
      <c r="R49" s="78"/>
      <c r="S49" s="78"/>
      <c r="T49" s="78"/>
      <c r="U49" s="49"/>
      <c r="V49" s="45"/>
      <c r="W49" s="310" t="s">
        <v>185</v>
      </c>
      <c r="X49" s="311">
        <f>$C$13*12/2</f>
        <v>102</v>
      </c>
      <c r="Y49" s="312" t="s">
        <v>8</v>
      </c>
      <c r="Z49" s="313" t="s">
        <v>219</v>
      </c>
      <c r="AA49" s="313"/>
      <c r="AB49" s="313"/>
      <c r="AC49" s="313"/>
      <c r="AD49" s="313"/>
      <c r="AE49" s="314"/>
      <c r="AH49" s="106"/>
      <c r="AI49" s="129"/>
      <c r="AJ49" s="129"/>
      <c r="AK49" s="129"/>
      <c r="AL49" s="129"/>
      <c r="AM49" s="129"/>
      <c r="AN49" s="129"/>
      <c r="AO49" s="129"/>
      <c r="AP49" s="129"/>
      <c r="AQ49" s="129"/>
      <c r="AR49" s="129"/>
      <c r="AS49" s="129"/>
      <c r="AT49" s="129"/>
      <c r="AU49" s="129"/>
      <c r="AV49" s="129"/>
      <c r="AW49" s="70"/>
    </row>
    <row r="50" spans="1:49" ht="12.75">
      <c r="A50" s="83"/>
      <c r="B50" s="44"/>
      <c r="C50" s="44"/>
      <c r="D50" s="44"/>
      <c r="E50" s="44"/>
      <c r="F50" s="44"/>
      <c r="G50" s="44"/>
      <c r="H50" s="44"/>
      <c r="I50" s="44"/>
      <c r="J50" s="76"/>
      <c r="L50" s="113"/>
      <c r="N50" s="121" t="s">
        <v>112</v>
      </c>
      <c r="O50" s="79">
        <f>IF($O$39="Yes",IF($O$40="Yes",IF($O$41="Yes",$O$43,IF($O$42="No",$O$44,$O$49)),$O$49),$O$49)</f>
        <v>17.71793054571226</v>
      </c>
      <c r="P50" s="156" t="s">
        <v>9</v>
      </c>
      <c r="Q50" s="78"/>
      <c r="R50" s="78"/>
      <c r="S50" s="78"/>
      <c r="T50" s="78"/>
      <c r="U50" s="45"/>
      <c r="V50" s="45"/>
      <c r="W50" s="310" t="s">
        <v>182</v>
      </c>
      <c r="X50" s="319">
        <f>$X$45/($I$24*11200)</f>
        <v>0.00011603919546157815</v>
      </c>
      <c r="Y50" s="312"/>
      <c r="Z50" s="313" t="s">
        <v>191</v>
      </c>
      <c r="AA50" s="313"/>
      <c r="AB50" s="313"/>
      <c r="AC50" s="313"/>
      <c r="AD50" s="313"/>
      <c r="AE50" s="314"/>
      <c r="AH50" s="106"/>
      <c r="AI50" s="129"/>
      <c r="AJ50" s="129"/>
      <c r="AK50" s="129"/>
      <c r="AL50" s="129"/>
      <c r="AM50" s="129"/>
      <c r="AN50" s="129"/>
      <c r="AO50" s="129"/>
      <c r="AP50" s="129"/>
      <c r="AQ50" s="129"/>
      <c r="AR50" s="129"/>
      <c r="AS50" s="129"/>
      <c r="AT50" s="129"/>
      <c r="AU50" s="129"/>
      <c r="AV50" s="129"/>
      <c r="AW50" s="70"/>
    </row>
    <row r="51" spans="1:49" ht="12.75">
      <c r="A51" s="84" t="s">
        <v>236</v>
      </c>
      <c r="B51" s="44"/>
      <c r="C51" s="44"/>
      <c r="D51" s="44"/>
      <c r="E51" s="44"/>
      <c r="F51" s="44"/>
      <c r="G51" s="44"/>
      <c r="H51" s="44"/>
      <c r="I51" s="44"/>
      <c r="J51" s="76"/>
      <c r="L51" s="113"/>
      <c r="N51" s="108" t="s">
        <v>237</v>
      </c>
      <c r="U51" s="45"/>
      <c r="V51" s="79"/>
      <c r="W51" s="310" t="s">
        <v>183</v>
      </c>
      <c r="X51" s="319">
        <f>SINH($X$48*$C$13*12/$X$46)/TANH($C$13*12/$X$46)-COSH($X$48*$C$13*12/$X$46)</f>
        <v>-0.009016033235653254</v>
      </c>
      <c r="Y51" s="312"/>
      <c r="Z51" s="313" t="s">
        <v>984</v>
      </c>
      <c r="AA51" s="313"/>
      <c r="AB51" s="313"/>
      <c r="AC51" s="313"/>
      <c r="AD51" s="313"/>
      <c r="AE51" s="314"/>
      <c r="AH51" s="106"/>
      <c r="AI51" s="129"/>
      <c r="AJ51" s="129"/>
      <c r="AK51" s="129"/>
      <c r="AL51" s="129"/>
      <c r="AM51" s="129"/>
      <c r="AN51" s="129"/>
      <c r="AO51" s="129"/>
      <c r="AP51" s="129"/>
      <c r="AQ51" s="129"/>
      <c r="AR51" s="129"/>
      <c r="AS51" s="129"/>
      <c r="AT51" s="129"/>
      <c r="AU51" s="129"/>
      <c r="AV51" s="129"/>
      <c r="AW51" s="70"/>
    </row>
    <row r="52" spans="1:49" ht="12.75">
      <c r="A52" s="85" t="s">
        <v>25</v>
      </c>
      <c r="B52" s="15">
        <f>$O$34</f>
        <v>7.561227131045105</v>
      </c>
      <c r="C52" s="96" t="s">
        <v>9</v>
      </c>
      <c r="D52" s="48" t="str">
        <f>$Q$34</f>
        <v>fbx = Mx/Sx</v>
      </c>
      <c r="E52" s="44"/>
      <c r="F52" s="44"/>
      <c r="G52" s="44"/>
      <c r="H52" s="44"/>
      <c r="I52" s="44"/>
      <c r="J52" s="76"/>
      <c r="N52" s="115" t="s">
        <v>192</v>
      </c>
      <c r="O52" s="75">
        <f>$O$28*12/$I$23</f>
        <v>5.143214359557533</v>
      </c>
      <c r="P52" s="156" t="s">
        <v>9</v>
      </c>
      <c r="Q52" s="123" t="s">
        <v>193</v>
      </c>
      <c r="R52" s="78"/>
      <c r="S52" s="78"/>
      <c r="T52" s="78"/>
      <c r="U52" s="45"/>
      <c r="V52" s="79"/>
      <c r="W52" s="317" t="s">
        <v>985</v>
      </c>
      <c r="X52" s="319">
        <f>$X$50*$X$51/$X$46*SINH($X$49/$X$46)</f>
        <v>-2.6779479626196613E-06</v>
      </c>
      <c r="Y52" s="312"/>
      <c r="Z52" s="318" t="s">
        <v>986</v>
      </c>
      <c r="AA52" s="313"/>
      <c r="AB52" s="313"/>
      <c r="AC52" s="313"/>
      <c r="AD52" s="313"/>
      <c r="AE52" s="314"/>
      <c r="AH52" s="106"/>
      <c r="AI52" s="129"/>
      <c r="AJ52" s="129"/>
      <c r="AK52" s="129"/>
      <c r="AL52" s="129"/>
      <c r="AM52" s="129"/>
      <c r="AN52" s="129"/>
      <c r="AO52" s="129"/>
      <c r="AP52" s="129"/>
      <c r="AQ52" s="129"/>
      <c r="AR52" s="129"/>
      <c r="AS52" s="129"/>
      <c r="AT52" s="129"/>
      <c r="AU52" s="129"/>
      <c r="AV52" s="129"/>
      <c r="AW52" s="70"/>
    </row>
    <row r="53" spans="1:49" ht="12.75">
      <c r="A53" s="117" t="s">
        <v>104</v>
      </c>
      <c r="B53" s="17">
        <f>$O$37</f>
        <v>163.2</v>
      </c>
      <c r="C53" s="104"/>
      <c r="D53" s="44" t="str">
        <f>$Q$37</f>
        <v>Lb/rt = Lb*12/rt</v>
      </c>
      <c r="E53" s="44"/>
      <c r="F53" s="44"/>
      <c r="G53" s="44"/>
      <c r="H53" s="44"/>
      <c r="I53" s="44"/>
      <c r="J53" s="76"/>
      <c r="N53" s="136" t="s">
        <v>194</v>
      </c>
      <c r="O53" s="75">
        <f>$O$32*12/($I$23/2)</f>
        <v>1.2082873466043875</v>
      </c>
      <c r="P53" s="156" t="s">
        <v>9</v>
      </c>
      <c r="Q53" s="78" t="s">
        <v>195</v>
      </c>
      <c r="T53" s="78"/>
      <c r="W53" s="320" t="s">
        <v>987</v>
      </c>
      <c r="X53" s="321">
        <f>ABS(29000*$X$47*$X$52)</f>
        <v>1.2066242496448842</v>
      </c>
      <c r="Y53" s="322" t="s">
        <v>9</v>
      </c>
      <c r="Z53" s="323" t="s">
        <v>988</v>
      </c>
      <c r="AA53" s="324"/>
      <c r="AB53" s="324"/>
      <c r="AC53" s="324"/>
      <c r="AD53" s="324"/>
      <c r="AE53" s="325"/>
      <c r="AH53" s="106"/>
      <c r="AI53" s="129"/>
      <c r="AJ53" s="129"/>
      <c r="AK53" s="129"/>
      <c r="AL53" s="129"/>
      <c r="AM53" s="129"/>
      <c r="AN53" s="129"/>
      <c r="AO53" s="129"/>
      <c r="AP53" s="129"/>
      <c r="AQ53" s="129"/>
      <c r="AR53" s="129"/>
      <c r="AS53" s="129"/>
      <c r="AT53" s="129"/>
      <c r="AU53" s="129"/>
      <c r="AV53" s="129"/>
      <c r="AW53" s="70"/>
    </row>
    <row r="54" spans="1:54" ht="12.75">
      <c r="A54" s="85" t="s">
        <v>109</v>
      </c>
      <c r="B54" s="16">
        <f>$O$50</f>
        <v>17.71793054571226</v>
      </c>
      <c r="C54" s="96" t="s">
        <v>9</v>
      </c>
      <c r="D54" s="44" t="str">
        <f>VLOOKUP($O$50,$O$43:$Q$48,3,FALSE)</f>
        <v>Fbx = 12000*Cb/(Lb*12*(d/Af)) &lt;= 0.60*Fy</v>
      </c>
      <c r="E54" s="44"/>
      <c r="F54" s="44"/>
      <c r="G54" s="44"/>
      <c r="H54" s="44"/>
      <c r="I54" s="44"/>
      <c r="J54" s="206" t="str">
        <f>IF($B$52&lt;=$B$54,"fbx &lt;= Fbx,  O.K.  ","fbx &gt; Fbx  ")</f>
        <v>fbx &lt;= Fbx,  O.K.  </v>
      </c>
      <c r="N54" s="136" t="s">
        <v>166</v>
      </c>
      <c r="O54" s="75">
        <f>$O$52+$O$53</f>
        <v>6.35150170616192</v>
      </c>
      <c r="P54" s="156" t="s">
        <v>9</v>
      </c>
      <c r="Q54" s="78" t="s">
        <v>196</v>
      </c>
      <c r="AH54" s="106"/>
      <c r="AI54" s="129"/>
      <c r="AJ54" s="129"/>
      <c r="AK54" s="129"/>
      <c r="AL54" s="129"/>
      <c r="AM54" s="129"/>
      <c r="AN54" s="129"/>
      <c r="AO54" s="129"/>
      <c r="AP54" s="129"/>
      <c r="AQ54" s="129"/>
      <c r="AR54" s="129"/>
      <c r="AS54" s="129"/>
      <c r="AT54" s="129"/>
      <c r="AU54" s="129"/>
      <c r="AV54" s="129"/>
      <c r="AW54" s="70"/>
      <c r="BA54" s="204" t="s">
        <v>225</v>
      </c>
      <c r="BB54" s="205">
        <f>$B$52/$B$54</f>
        <v>0.42675565927618575</v>
      </c>
    </row>
    <row r="55" spans="1:49" ht="12.75">
      <c r="A55" s="98"/>
      <c r="B55" s="91"/>
      <c r="C55" s="91"/>
      <c r="D55" s="91"/>
      <c r="E55" s="91"/>
      <c r="F55" s="91"/>
      <c r="G55" s="91"/>
      <c r="H55" s="91"/>
      <c r="I55" s="91"/>
      <c r="J55" s="102" t="s">
        <v>85</v>
      </c>
      <c r="N55" s="121" t="s">
        <v>106</v>
      </c>
      <c r="O55" s="79">
        <f>IF($O$15&lt;=65/SQRT($C$12),0.75*$C$12,IF($O$15&lt;=95/SQRT($C$12),$C$12*(1.075-0.005*$F$22/(2*$F$23)*SQRT($C$12)),$O$17*0.6*$C$12))</f>
        <v>27</v>
      </c>
      <c r="P55" s="156" t="s">
        <v>9</v>
      </c>
      <c r="Q55" s="119" t="str">
        <f>IF($O$15&lt;=65/SQRT($C$12),"Fby = 0.75*Fy",IF($O$15&lt;=95/SQRT($C$12),"Fby = Fy*(1.075-0.005*bf/(2*tf)*SQRT(Fy))","Qs*0.6*Fy"))</f>
        <v>Fby = 0.75*Fy</v>
      </c>
      <c r="R55" s="78"/>
      <c r="S55" s="78"/>
      <c r="AH55" s="106"/>
      <c r="AI55" s="129"/>
      <c r="AJ55" s="129"/>
      <c r="AK55" s="129"/>
      <c r="AL55" s="129"/>
      <c r="AM55" s="129"/>
      <c r="AN55" s="129"/>
      <c r="AO55" s="129"/>
      <c r="AP55" s="129"/>
      <c r="AQ55" s="129"/>
      <c r="AR55" s="129"/>
      <c r="AS55" s="129"/>
      <c r="AT55" s="129"/>
      <c r="AU55" s="129"/>
      <c r="AV55" s="129"/>
      <c r="AW55" s="70"/>
    </row>
    <row r="56" spans="1:49" ht="12.75">
      <c r="A56" s="99"/>
      <c r="B56" s="100"/>
      <c r="C56" s="100"/>
      <c r="D56" s="100"/>
      <c r="E56" s="100"/>
      <c r="F56" s="100"/>
      <c r="G56" s="100"/>
      <c r="H56" s="100"/>
      <c r="I56" s="100"/>
      <c r="J56" s="101"/>
      <c r="N56" s="143" t="s">
        <v>170</v>
      </c>
      <c r="AH56" s="106"/>
      <c r="AI56" s="129"/>
      <c r="AJ56" s="129"/>
      <c r="AK56" s="129"/>
      <c r="AL56" s="129"/>
      <c r="AM56" s="129"/>
      <c r="AN56" s="129"/>
      <c r="AO56" s="129"/>
      <c r="AP56" s="129"/>
      <c r="AQ56" s="129"/>
      <c r="AR56" s="129"/>
      <c r="AS56" s="129"/>
      <c r="AT56" s="129"/>
      <c r="AU56" s="129"/>
      <c r="AV56" s="129"/>
      <c r="AW56" s="70"/>
    </row>
    <row r="57" spans="1:49" ht="12.75">
      <c r="A57" s="84" t="s">
        <v>237</v>
      </c>
      <c r="B57" s="44"/>
      <c r="C57" s="44"/>
      <c r="D57" s="44"/>
      <c r="E57" s="44"/>
      <c r="F57" s="44"/>
      <c r="G57" s="44"/>
      <c r="H57" s="44"/>
      <c r="I57" s="44"/>
      <c r="J57" s="76"/>
      <c r="N57" s="115" t="s">
        <v>167</v>
      </c>
      <c r="O57" s="1">
        <f>$O$34/$O$50+$O$54/$O$55</f>
        <v>0.6619964632081087</v>
      </c>
      <c r="P57" s="78"/>
      <c r="Q57" s="78" t="s">
        <v>168</v>
      </c>
      <c r="AH57" s="106"/>
      <c r="AI57" s="129"/>
      <c r="AJ57" s="129"/>
      <c r="AK57" s="129"/>
      <c r="AL57" s="129"/>
      <c r="AM57" s="129"/>
      <c r="AN57" s="129"/>
      <c r="AO57" s="129"/>
      <c r="AP57" s="129"/>
      <c r="AQ57" s="129"/>
      <c r="AR57" s="129"/>
      <c r="AS57" s="129"/>
      <c r="AT57" s="129"/>
      <c r="AU57" s="129"/>
      <c r="AV57" s="129"/>
      <c r="AW57" s="70"/>
    </row>
    <row r="58" spans="1:49" ht="12.75">
      <c r="A58" s="85" t="s">
        <v>192</v>
      </c>
      <c r="B58" s="15">
        <f>$O$52</f>
        <v>5.143214359557533</v>
      </c>
      <c r="C58" s="96" t="s">
        <v>9</v>
      </c>
      <c r="D58" s="120" t="str">
        <f>$Q$52</f>
        <v>fby = My/Sy</v>
      </c>
      <c r="E58" s="44"/>
      <c r="F58" s="44"/>
      <c r="G58" s="44"/>
      <c r="H58" s="44"/>
      <c r="I58" s="44"/>
      <c r="J58" s="76"/>
      <c r="N58" s="143" t="s">
        <v>171</v>
      </c>
      <c r="AH58" s="106"/>
      <c r="AI58" s="129"/>
      <c r="AJ58" s="129"/>
      <c r="AK58" s="129"/>
      <c r="AL58" s="129"/>
      <c r="AM58" s="129"/>
      <c r="AN58" s="129"/>
      <c r="AO58" s="129"/>
      <c r="AP58" s="129"/>
      <c r="AQ58" s="129"/>
      <c r="AR58" s="129"/>
      <c r="AS58" s="129"/>
      <c r="AT58" s="129"/>
      <c r="AU58" s="129"/>
      <c r="AV58" s="129"/>
      <c r="AW58" s="70"/>
    </row>
    <row r="59" spans="1:49" ht="12.75">
      <c r="A59" s="85" t="s">
        <v>194</v>
      </c>
      <c r="B59" s="17">
        <f>$O$53</f>
        <v>1.2082873466043875</v>
      </c>
      <c r="C59" s="96" t="s">
        <v>9</v>
      </c>
      <c r="D59" s="120" t="str">
        <f>$Q$53</f>
        <v>fwns = Mt*12/(Sy/2) (warping normal stress)</v>
      </c>
      <c r="E59" s="44"/>
      <c r="F59" s="44"/>
      <c r="G59" s="44"/>
      <c r="H59" s="44"/>
      <c r="I59" s="44"/>
      <c r="J59" s="76"/>
      <c r="N59" s="136" t="s">
        <v>132</v>
      </c>
      <c r="O59" s="73">
        <f>($C$19+$C$21+$C$20)</f>
        <v>6.5</v>
      </c>
      <c r="P59" s="155" t="s">
        <v>7</v>
      </c>
      <c r="Q59" s="111" t="s">
        <v>228</v>
      </c>
      <c r="AH59" s="106"/>
      <c r="AI59" s="129"/>
      <c r="AJ59" s="129"/>
      <c r="AK59" s="129"/>
      <c r="AL59" s="129"/>
      <c r="AM59" s="129"/>
      <c r="AN59" s="129"/>
      <c r="AO59" s="129"/>
      <c r="AP59" s="129"/>
      <c r="AQ59" s="129"/>
      <c r="AR59" s="129"/>
      <c r="AS59" s="129"/>
      <c r="AT59" s="129"/>
      <c r="AU59" s="129"/>
      <c r="AV59" s="129"/>
      <c r="AW59" s="70"/>
    </row>
    <row r="60" spans="1:49" ht="12.75">
      <c r="A60" s="85" t="s">
        <v>166</v>
      </c>
      <c r="B60" s="17">
        <f>$O$54</f>
        <v>6.35150170616192</v>
      </c>
      <c r="C60" s="96" t="s">
        <v>9</v>
      </c>
      <c r="D60" s="120" t="str">
        <f>$Q$54</f>
        <v>fby(total) = fby+fwns</v>
      </c>
      <c r="E60" s="44"/>
      <c r="F60" s="44"/>
      <c r="G60" s="44"/>
      <c r="H60" s="44"/>
      <c r="I60" s="44"/>
      <c r="J60" s="76"/>
      <c r="N60" s="144" t="s">
        <v>138</v>
      </c>
      <c r="O60" s="303">
        <f>IF(AND($C$24=4,$C$25&lt;(2-SQRT(2))*$C$13),($O$59/2)*($C$13*12-$C$25*12)/2/(24*29000*$I$20)*(3*($C$13*12)^2-4*(($C$13*12-$C$25*12)/2)^2)+5*$O$4/12000*($C$13*12)^4/(384*29000*$I$20),IF(AND($C$24=4,$C$25&gt;=(2-SQRT(2))*$C$13),($O$59/2)*($C$13*12)^3/(48*29000*$I$20)+5*$O$4/12000*($C$13*12)^4/(384*29000*$I$20),IF($C$24=2,$O$59*($C$13*12)^3/(48*29000*$I$20)+5*$O$4/12000*($C$13*12)^4/(384*29000*$I$20))))</f>
        <v>0.14115125149368385</v>
      </c>
      <c r="P60" s="77" t="s">
        <v>8</v>
      </c>
      <c r="Q60" s="145" t="s">
        <v>138</v>
      </c>
      <c r="R60" s="301" t="str">
        <f>IF(AND($C$24=4,$C$25&lt;(2-SQRT(2))*$C$13),"(Pv/2)*(L-S)/2/(24*E*I)*(3*L^2-4*((L-S)/2)^2)+5*w/12000*L^4/(384*E*I)",IF(AND($C$24=4,$C$25&gt;=(2-SQRT(2))*$C$13),"(Pv/2)*L^3/(48*E*I)+5*w/12000*L^4/(384*E*I)",IF($C$24=2,"Pv*L^3/(48*E*I)+5*w/12000*L^4/(384*E*I)")))</f>
        <v>(Pv/2)*(L-S)/2/(24*E*I)*(3*L^2-4*((L-S)/2)^2)+5*w/12000*L^4/(384*E*I)</v>
      </c>
      <c r="S60" s="78"/>
      <c r="AH60" s="106"/>
      <c r="AI60" s="129"/>
      <c r="AJ60" s="129"/>
      <c r="AK60" s="129"/>
      <c r="AL60" s="129"/>
      <c r="AM60" s="129"/>
      <c r="AN60" s="129"/>
      <c r="AO60" s="129"/>
      <c r="AP60" s="129"/>
      <c r="AQ60" s="129"/>
      <c r="AR60" s="129"/>
      <c r="AS60" s="129"/>
      <c r="AT60" s="129"/>
      <c r="AU60" s="129"/>
      <c r="AV60" s="129"/>
      <c r="AW60" s="70"/>
    </row>
    <row r="61" spans="1:54" ht="12.75">
      <c r="A61" s="85" t="s">
        <v>106</v>
      </c>
      <c r="B61" s="16">
        <f>$O$55</f>
        <v>27</v>
      </c>
      <c r="C61" s="96" t="s">
        <v>9</v>
      </c>
      <c r="D61" s="141" t="str">
        <f>$Q$55</f>
        <v>Fby = 0.75*Fy</v>
      </c>
      <c r="E61" s="44"/>
      <c r="F61" s="44"/>
      <c r="G61" s="44"/>
      <c r="H61" s="44"/>
      <c r="I61" s="44"/>
      <c r="J61" s="206" t="str">
        <f>IF($B$60&lt;=$B$61,"fby &lt;= Fby,  O.K.  ","fby &gt; Fby  ")</f>
        <v>fby &lt;= Fby,  O.K.  </v>
      </c>
      <c r="N61" s="144" t="s">
        <v>139</v>
      </c>
      <c r="O61" s="71" t="str">
        <f>"L/"&amp;ROUND($C$13*12/ABS($O$60),0)</f>
        <v>L/1445</v>
      </c>
      <c r="Q61" s="145" t="s">
        <v>140</v>
      </c>
      <c r="AH61" s="106"/>
      <c r="AI61" s="129"/>
      <c r="AJ61" s="129"/>
      <c r="AK61" s="129"/>
      <c r="AL61" s="129"/>
      <c r="AM61" s="129"/>
      <c r="AN61" s="129"/>
      <c r="AO61" s="129"/>
      <c r="AP61" s="129"/>
      <c r="AQ61" s="129"/>
      <c r="AR61" s="129"/>
      <c r="AS61" s="129"/>
      <c r="AT61" s="129"/>
      <c r="AU61" s="129"/>
      <c r="AV61" s="129"/>
      <c r="AW61" s="70"/>
      <c r="BA61" s="204" t="s">
        <v>225</v>
      </c>
      <c r="BB61" s="205">
        <f>$B$60/$B$61</f>
        <v>0.23524080393192295</v>
      </c>
    </row>
    <row r="62" spans="1:49" ht="12.75">
      <c r="A62" s="83"/>
      <c r="B62" s="44"/>
      <c r="C62" s="44"/>
      <c r="D62" s="44"/>
      <c r="E62" s="44"/>
      <c r="F62" s="44"/>
      <c r="G62" s="44"/>
      <c r="H62" s="44"/>
      <c r="I62" s="44"/>
      <c r="J62" s="76"/>
      <c r="N62" s="144" t="s">
        <v>210</v>
      </c>
      <c r="O62" s="142">
        <f>$C$13*12/450</f>
        <v>0.4533333333333333</v>
      </c>
      <c r="P62" s="77" t="s">
        <v>8</v>
      </c>
      <c r="Q62" s="145" t="s">
        <v>214</v>
      </c>
      <c r="AH62" s="106"/>
      <c r="AI62" s="129"/>
      <c r="AJ62" s="129"/>
      <c r="AK62" s="129"/>
      <c r="AL62" s="129"/>
      <c r="AM62" s="129"/>
      <c r="AN62" s="129"/>
      <c r="AO62" s="129"/>
      <c r="AP62" s="129"/>
      <c r="AQ62" s="129"/>
      <c r="AR62" s="129"/>
      <c r="AS62" s="129"/>
      <c r="AT62" s="129"/>
      <c r="AU62" s="129"/>
      <c r="AV62" s="129"/>
      <c r="AW62" s="70"/>
    </row>
    <row r="63" spans="1:49" ht="12.75">
      <c r="A63" s="84" t="s">
        <v>170</v>
      </c>
      <c r="B63" s="44"/>
      <c r="C63" s="44"/>
      <c r="D63" s="44"/>
      <c r="E63" s="44"/>
      <c r="F63" s="44"/>
      <c r="G63" s="44"/>
      <c r="H63" s="44"/>
      <c r="I63" s="44"/>
      <c r="J63" s="76"/>
      <c r="N63" s="108" t="s">
        <v>233</v>
      </c>
      <c r="AH63" s="106"/>
      <c r="AI63" s="129"/>
      <c r="AJ63" s="129"/>
      <c r="AK63" s="129"/>
      <c r="AL63" s="129"/>
      <c r="AM63" s="129"/>
      <c r="AN63" s="129"/>
      <c r="AO63" s="129"/>
      <c r="AP63" s="129"/>
      <c r="AQ63" s="129"/>
      <c r="AR63" s="129"/>
      <c r="AS63" s="129"/>
      <c r="AT63" s="129"/>
      <c r="AU63" s="129"/>
      <c r="AV63" s="129"/>
      <c r="AW63" s="70"/>
    </row>
    <row r="64" spans="1:54" ht="12.75">
      <c r="A64" s="85" t="s">
        <v>167</v>
      </c>
      <c r="B64" s="164">
        <f>$O$57</f>
        <v>0.6619964632081087</v>
      </c>
      <c r="C64" s="44"/>
      <c r="D64" s="141" t="str">
        <f>$Q$57</f>
        <v>S.R. = fbx/Fbx+fby(total)/Fby</v>
      </c>
      <c r="E64" s="44"/>
      <c r="F64" s="44"/>
      <c r="G64" s="44"/>
      <c r="H64" s="44"/>
      <c r="I64" s="44"/>
      <c r="J64" s="206" t="str">
        <f>IF($B$64&lt;=1,"S.R. &lt;= 1.0,  O.K.  ","S.R. &gt; 1.0  ")</f>
        <v>S.R. &lt;= 1.0,  O.K.  </v>
      </c>
      <c r="N64" s="136" t="s">
        <v>22</v>
      </c>
      <c r="O64" s="74">
        <f>IF($C$16&gt;0,IF($C$24=4,($B$31/2)*($C$16+($C$16-$C$25))+$O$4/1000*$C$16^2/2,IF($C$24=2,$B$31*$C$16+$O$4/1000*$C$16^2/2)),"N.A.")</f>
        <v>19.65</v>
      </c>
      <c r="P64" s="155" t="s">
        <v>24</v>
      </c>
      <c r="Q64" s="140" t="str">
        <f>IF($C$24=4,"Mx = (Pv/2)*(Lo+(Lo-S))+w/1000*Lo^2/2",IF($C$24=2,"Mx = Pv*Lo+w/1000*Lo^2/2"))</f>
        <v>Mx = (Pv/2)*(Lo+(Lo-S))+w/1000*Lo^2/2</v>
      </c>
      <c r="AH64" s="106"/>
      <c r="AI64" s="129"/>
      <c r="AJ64" s="129"/>
      <c r="AK64" s="129"/>
      <c r="AL64" s="129"/>
      <c r="AM64" s="129"/>
      <c r="AN64" s="129"/>
      <c r="AO64" s="129"/>
      <c r="AP64" s="129"/>
      <c r="AQ64" s="129"/>
      <c r="AR64" s="129"/>
      <c r="AS64" s="129"/>
      <c r="AT64" s="129"/>
      <c r="AU64" s="129"/>
      <c r="AV64" s="129"/>
      <c r="AW64" s="70"/>
      <c r="BA64" s="204" t="s">
        <v>225</v>
      </c>
      <c r="BB64" s="205">
        <f>$B$64</f>
        <v>0.6619964632081087</v>
      </c>
    </row>
    <row r="65" spans="1:49" ht="12.75">
      <c r="A65" s="83"/>
      <c r="B65" s="44"/>
      <c r="C65" s="44"/>
      <c r="D65" s="44"/>
      <c r="E65" s="44"/>
      <c r="F65" s="44"/>
      <c r="G65" s="44"/>
      <c r="H65" s="44"/>
      <c r="I65" s="44"/>
      <c r="J65" s="76"/>
      <c r="N65" s="136" t="s">
        <v>23</v>
      </c>
      <c r="O65" s="74">
        <f>IF($C$16&gt;0,IF($C$24=4,($B$33/2)*($C$16+($C$16-$C$25)),IF($C$24=2,$B$33*$C$16)),"N.A.")</f>
        <v>1.5750000000000002</v>
      </c>
      <c r="P65" s="155" t="s">
        <v>24</v>
      </c>
      <c r="Q65" s="140" t="str">
        <f>IF($C$24=4,"My = (Ph/2)*(Lo+(Lo-S))",IF($C$24=2,"My = Ph*Lo"))</f>
        <v>My = (Ph/2)*(Lo+(Lo-S))</v>
      </c>
      <c r="AH65" s="106"/>
      <c r="AI65" s="129"/>
      <c r="AJ65" s="129"/>
      <c r="AK65" s="129"/>
      <c r="AL65" s="129"/>
      <c r="AM65" s="129"/>
      <c r="AN65" s="129"/>
      <c r="AO65" s="129"/>
      <c r="AP65" s="129"/>
      <c r="AQ65" s="129"/>
      <c r="AR65" s="129"/>
      <c r="AS65" s="129"/>
      <c r="AT65" s="129"/>
      <c r="AU65" s="129"/>
      <c r="AV65" s="129"/>
      <c r="AW65" s="70"/>
    </row>
    <row r="66" spans="1:49" ht="12.75">
      <c r="A66" s="84" t="s">
        <v>171</v>
      </c>
      <c r="B66" s="44"/>
      <c r="C66" s="44"/>
      <c r="D66" s="44"/>
      <c r="E66" s="44"/>
      <c r="F66" s="44"/>
      <c r="G66" s="44"/>
      <c r="H66" s="44"/>
      <c r="I66" s="44"/>
      <c r="J66" s="76"/>
      <c r="N66" s="153" t="s">
        <v>177</v>
      </c>
      <c r="T66" s="111" t="s">
        <v>933</v>
      </c>
      <c r="AH66" s="106"/>
      <c r="AI66" s="129"/>
      <c r="AJ66" s="129"/>
      <c r="AK66" s="129"/>
      <c r="AL66" s="129"/>
      <c r="AM66" s="129"/>
      <c r="AN66" s="129"/>
      <c r="AO66" s="129"/>
      <c r="AP66" s="129"/>
      <c r="AQ66" s="129"/>
      <c r="AR66" s="129"/>
      <c r="AS66" s="129"/>
      <c r="AT66" s="129"/>
      <c r="AU66" s="129"/>
      <c r="AV66" s="129"/>
      <c r="AW66" s="70"/>
    </row>
    <row r="67" spans="1:49" ht="12.75">
      <c r="A67" s="85" t="s">
        <v>132</v>
      </c>
      <c r="B67" s="26">
        <f>$O$59</f>
        <v>6.5</v>
      </c>
      <c r="C67" s="96" t="s">
        <v>7</v>
      </c>
      <c r="D67" s="44" t="str">
        <f>$Q$59</f>
        <v>Pv = P+Wh+Wt (without vertical impact)</v>
      </c>
      <c r="E67" s="44"/>
      <c r="F67" s="44"/>
      <c r="G67" s="44"/>
      <c r="H67" s="44"/>
      <c r="I67" s="44"/>
      <c r="J67" s="76"/>
      <c r="N67" s="115" t="s">
        <v>158</v>
      </c>
      <c r="O67" s="1">
        <f>IF($C$16&gt;0,$F$20/2,"N.A.")</f>
        <v>6</v>
      </c>
      <c r="P67" s="155" t="s">
        <v>8</v>
      </c>
      <c r="Q67" s="78" t="s">
        <v>165</v>
      </c>
      <c r="R67" s="78"/>
      <c r="AH67" s="106"/>
      <c r="AI67" s="129"/>
      <c r="AJ67" s="129"/>
      <c r="AK67" s="129"/>
      <c r="AL67" s="129"/>
      <c r="AM67" s="129"/>
      <c r="AN67" s="129"/>
      <c r="AO67" s="129"/>
      <c r="AP67" s="129"/>
      <c r="AQ67" s="129"/>
      <c r="AR67" s="129"/>
      <c r="AS67" s="129"/>
      <c r="AT67" s="129"/>
      <c r="AU67" s="129"/>
      <c r="AV67" s="129"/>
      <c r="AW67" s="70"/>
    </row>
    <row r="68" spans="1:49" ht="12.75">
      <c r="A68" s="86" t="s">
        <v>137</v>
      </c>
      <c r="B68" s="211">
        <f>$O$60</f>
        <v>0.14115125149368385</v>
      </c>
      <c r="C68" s="104" t="s">
        <v>8</v>
      </c>
      <c r="D68" s="97" t="s">
        <v>137</v>
      </c>
      <c r="E68" s="185" t="str">
        <f>$R$60</f>
        <v>(Pv/2)*(L-S)/2/(24*E*I)*(3*L^2-4*((L-S)/2)^2)+5*w/12000*L^4/(384*E*I)</v>
      </c>
      <c r="F68" s="44"/>
      <c r="G68" s="44"/>
      <c r="H68" s="44"/>
      <c r="I68" s="44"/>
      <c r="J68" s="76"/>
      <c r="N68" s="115" t="s">
        <v>160</v>
      </c>
      <c r="O68" s="1">
        <f>IF($C$16&gt;0,SQRT(29000*$I$25/($I$24*11200)),"N.A.")</f>
        <v>21.662170094491497</v>
      </c>
      <c r="Q68" s="78" t="s">
        <v>161</v>
      </c>
      <c r="R68" s="78"/>
      <c r="AH68" s="106"/>
      <c r="AI68" s="129"/>
      <c r="AJ68" s="129"/>
      <c r="AK68" s="129"/>
      <c r="AL68" s="129"/>
      <c r="AM68" s="129"/>
      <c r="AN68" s="129"/>
      <c r="AO68" s="129"/>
      <c r="AP68" s="129"/>
      <c r="AQ68" s="129"/>
      <c r="AR68" s="129"/>
      <c r="AS68" s="129"/>
      <c r="AT68" s="129"/>
      <c r="AU68" s="129"/>
      <c r="AV68" s="129"/>
      <c r="AW68" s="70"/>
    </row>
    <row r="69" spans="1:49" ht="12.75">
      <c r="A69" s="146" t="s">
        <v>141</v>
      </c>
      <c r="B69" s="174" t="str">
        <f>$O$61</f>
        <v>L/1445</v>
      </c>
      <c r="C69" s="44"/>
      <c r="D69" s="147" t="s">
        <v>142</v>
      </c>
      <c r="E69" s="44"/>
      <c r="F69" s="44"/>
      <c r="G69" s="44"/>
      <c r="H69" s="44"/>
      <c r="I69" s="44"/>
      <c r="J69" s="76"/>
      <c r="M69" s="75"/>
      <c r="N69" s="115" t="s">
        <v>159</v>
      </c>
      <c r="O69" s="75">
        <f>IF($C$16&gt;0,$B$33*$O$30*$O$31/($F$20-$F$23)*TANH($C$16*12/$O$31)/12,"N.A.")</f>
        <v>0.5331807204910433</v>
      </c>
      <c r="P69" s="155" t="s">
        <v>24</v>
      </c>
      <c r="Q69" s="78" t="s">
        <v>179</v>
      </c>
      <c r="R69" s="78"/>
      <c r="AH69" s="106"/>
      <c r="AI69" s="129"/>
      <c r="AJ69" s="129"/>
      <c r="AK69" s="129"/>
      <c r="AL69" s="129"/>
      <c r="AM69" s="129"/>
      <c r="AN69" s="129"/>
      <c r="AO69" s="129"/>
      <c r="AP69" s="129"/>
      <c r="AQ69" s="129"/>
      <c r="AR69" s="129"/>
      <c r="AS69" s="129"/>
      <c r="AT69" s="129"/>
      <c r="AU69" s="129"/>
      <c r="AV69" s="129"/>
      <c r="AW69" s="70"/>
    </row>
    <row r="70" spans="1:54" ht="12.75">
      <c r="A70" s="146" t="s">
        <v>215</v>
      </c>
      <c r="B70" s="190">
        <f>$O$62</f>
        <v>0.4533333333333333</v>
      </c>
      <c r="C70" s="104" t="s">
        <v>8</v>
      </c>
      <c r="D70" s="147" t="s">
        <v>216</v>
      </c>
      <c r="E70" s="44"/>
      <c r="F70" s="44"/>
      <c r="G70" s="44"/>
      <c r="H70" s="202"/>
      <c r="I70" s="44"/>
      <c r="J70" s="206" t="str">
        <f>IF($B$68&lt;=$B$70,"Defl.(max) &lt;= Defl.(allow),  O.K.  ","Defl.(max) &gt; Defl.(allow)  ")</f>
        <v>Defl.(max) &lt;= Defl.(allow),  O.K.  </v>
      </c>
      <c r="N70" s="108" t="s">
        <v>238</v>
      </c>
      <c r="AH70" s="106"/>
      <c r="AI70" s="129"/>
      <c r="AJ70" s="129"/>
      <c r="AK70" s="129"/>
      <c r="AL70" s="129"/>
      <c r="AM70" s="129"/>
      <c r="AN70" s="129"/>
      <c r="AO70" s="129"/>
      <c r="AP70" s="129"/>
      <c r="AQ70" s="129"/>
      <c r="AR70" s="129"/>
      <c r="AS70" s="129"/>
      <c r="AT70" s="129"/>
      <c r="AU70" s="129"/>
      <c r="AV70" s="129"/>
      <c r="AW70" s="70"/>
      <c r="BA70" s="204" t="s">
        <v>225</v>
      </c>
      <c r="BB70" s="205">
        <f>$B$68/$B$70</f>
        <v>0.3113630547654791</v>
      </c>
    </row>
    <row r="71" spans="1:49" ht="12.75">
      <c r="A71" s="83"/>
      <c r="B71" s="44"/>
      <c r="C71" s="44"/>
      <c r="D71" s="202"/>
      <c r="E71" s="104" t="s">
        <v>992</v>
      </c>
      <c r="F71" s="44"/>
      <c r="G71" s="44"/>
      <c r="H71" s="44"/>
      <c r="I71" s="44"/>
      <c r="J71" s="76"/>
      <c r="N71" s="115" t="s">
        <v>25</v>
      </c>
      <c r="O71" s="75">
        <f>IF($C$16&gt;0,$O$64*12/$I$21,"N.A.")</f>
        <v>4.6600790513833985</v>
      </c>
      <c r="P71" s="156" t="s">
        <v>9</v>
      </c>
      <c r="Q71" s="123" t="s">
        <v>129</v>
      </c>
      <c r="U71" s="1"/>
      <c r="AH71" s="106"/>
      <c r="AI71" s="129"/>
      <c r="AJ71" s="129"/>
      <c r="AK71" s="129"/>
      <c r="AL71" s="129"/>
      <c r="AM71" s="129"/>
      <c r="AN71" s="129"/>
      <c r="AO71" s="129"/>
      <c r="AP71" s="129"/>
      <c r="AQ71" s="129"/>
      <c r="AR71" s="129"/>
      <c r="AS71" s="129"/>
      <c r="AT71" s="129"/>
      <c r="AU71" s="129"/>
      <c r="AV71" s="129"/>
      <c r="AW71" s="70"/>
    </row>
    <row r="72" spans="1:49" ht="12.75">
      <c r="A72" s="84" t="s">
        <v>233</v>
      </c>
      <c r="B72" s="44"/>
      <c r="C72" s="44"/>
      <c r="D72" s="44"/>
      <c r="E72" s="44"/>
      <c r="F72" s="44"/>
      <c r="G72" s="44"/>
      <c r="H72" s="44"/>
      <c r="I72" s="44"/>
      <c r="J72" s="76"/>
      <c r="N72" s="113" t="s">
        <v>102</v>
      </c>
      <c r="O72" s="79">
        <f>IF($C$16&gt;0,MIN((76*$F$22/SQRT($C$12))/12,(20000/($I$19*$C$12))/12),"N.A.")</f>
        <v>5.784444444444445</v>
      </c>
      <c r="P72" s="156" t="s">
        <v>90</v>
      </c>
      <c r="Q72" s="123" t="s">
        <v>163</v>
      </c>
      <c r="R72" s="78"/>
      <c r="U72" s="1"/>
      <c r="AH72" s="106"/>
      <c r="AI72" s="129"/>
      <c r="AJ72" s="129"/>
      <c r="AK72" s="129"/>
      <c r="AL72" s="129"/>
      <c r="AM72" s="129"/>
      <c r="AN72" s="129"/>
      <c r="AO72" s="129"/>
      <c r="AP72" s="129"/>
      <c r="AQ72" s="129"/>
      <c r="AR72" s="129"/>
      <c r="AS72" s="129"/>
      <c r="AT72" s="129"/>
      <c r="AU72" s="129"/>
      <c r="AV72" s="129"/>
      <c r="AW72" s="70"/>
    </row>
    <row r="73" spans="1:49" ht="12.75">
      <c r="A73" s="85" t="s">
        <v>22</v>
      </c>
      <c r="B73" s="15">
        <f>$O$64</f>
        <v>19.65</v>
      </c>
      <c r="C73" s="96" t="s">
        <v>24</v>
      </c>
      <c r="D73" s="48" t="str">
        <f>$Q$64</f>
        <v>Mx = (Pv/2)*(Lo+(Lo-S))+w/1000*Lo^2/2</v>
      </c>
      <c r="E73" s="44"/>
      <c r="F73" s="44"/>
      <c r="G73" s="44"/>
      <c r="H73" s="44"/>
      <c r="I73" s="44"/>
      <c r="J73" s="76"/>
      <c r="N73" s="113" t="s">
        <v>103</v>
      </c>
      <c r="O73" s="79">
        <f>IF($C$16&gt;0,MAX((20000/($I$19*$C$12))/12,(SQRT(102000/$C$12)*$F$25)/12),"N.A.")</f>
        <v>13.94466755912539</v>
      </c>
      <c r="P73" s="156" t="s">
        <v>90</v>
      </c>
      <c r="Q73" s="119" t="s">
        <v>164</v>
      </c>
      <c r="R73" s="78"/>
      <c r="S73" s="78"/>
      <c r="T73" s="78"/>
      <c r="U73" s="1"/>
      <c r="AH73" s="106"/>
      <c r="AI73" s="129"/>
      <c r="AJ73" s="129"/>
      <c r="AK73" s="129"/>
      <c r="AL73" s="129"/>
      <c r="AM73" s="129"/>
      <c r="AN73" s="129"/>
      <c r="AO73" s="129"/>
      <c r="AP73" s="129"/>
      <c r="AQ73" s="129"/>
      <c r="AR73" s="129"/>
      <c r="AS73" s="129"/>
      <c r="AT73" s="129"/>
      <c r="AU73" s="129"/>
      <c r="AV73" s="129"/>
      <c r="AW73" s="70"/>
    </row>
    <row r="74" spans="1:49" ht="12.75">
      <c r="A74" s="85" t="s">
        <v>23</v>
      </c>
      <c r="B74" s="16">
        <f>$O$65</f>
        <v>1.5750000000000002</v>
      </c>
      <c r="C74" s="96" t="s">
        <v>24</v>
      </c>
      <c r="D74" s="120" t="str">
        <f>$Q$65</f>
        <v>My = (Ph/2)*(Lo+(Lo-S))</v>
      </c>
      <c r="E74" s="44"/>
      <c r="F74" s="44"/>
      <c r="G74" s="44"/>
      <c r="H74" s="44"/>
      <c r="I74" s="44"/>
      <c r="J74" s="76"/>
      <c r="N74" s="113" t="s">
        <v>180</v>
      </c>
      <c r="O74" s="79">
        <f>IF($C$16&gt;0,IF($C$17&lt;=1,1*12/$F$25,$C$17*12/$F$25),"N.A.")</f>
        <v>110.4</v>
      </c>
      <c r="P74" s="77"/>
      <c r="Q74" s="78" t="s">
        <v>181</v>
      </c>
      <c r="S74" s="78"/>
      <c r="T74" s="78"/>
      <c r="U74" s="1"/>
      <c r="AH74" s="106"/>
      <c r="AI74" s="129"/>
      <c r="AJ74" s="129"/>
      <c r="AK74" s="129"/>
      <c r="AL74" s="129"/>
      <c r="AM74" s="129"/>
      <c r="AN74" s="129"/>
      <c r="AO74" s="129"/>
      <c r="AP74" s="129"/>
      <c r="AQ74" s="129"/>
      <c r="AR74" s="129"/>
      <c r="AS74" s="129"/>
      <c r="AT74" s="129"/>
      <c r="AU74" s="129"/>
      <c r="AV74" s="129"/>
      <c r="AW74" s="70"/>
    </row>
    <row r="75" spans="1:49" ht="12.75">
      <c r="A75" s="83"/>
      <c r="B75" s="44"/>
      <c r="C75" s="44"/>
      <c r="D75" s="44"/>
      <c r="E75" s="44"/>
      <c r="F75" s="44"/>
      <c r="G75" s="44"/>
      <c r="H75" s="44"/>
      <c r="I75" s="44"/>
      <c r="J75" s="76"/>
      <c r="N75" s="115" t="s">
        <v>105</v>
      </c>
      <c r="O75" s="1">
        <f>IF($C$16&gt;0,0,"N.A.")</f>
        <v>0</v>
      </c>
      <c r="P75" s="77"/>
      <c r="Q75" s="290" t="s">
        <v>937</v>
      </c>
      <c r="R75" s="78"/>
      <c r="S75" s="78"/>
      <c r="T75" s="78"/>
      <c r="U75" s="1"/>
      <c r="AH75" s="106"/>
      <c r="AI75" s="129"/>
      <c r="AJ75" s="129"/>
      <c r="AK75" s="129"/>
      <c r="AL75" s="129"/>
      <c r="AM75" s="129"/>
      <c r="AN75" s="129"/>
      <c r="AO75" s="129"/>
      <c r="AP75" s="129"/>
      <c r="AQ75" s="129"/>
      <c r="AR75" s="129"/>
      <c r="AS75" s="129"/>
      <c r="AT75" s="129"/>
      <c r="AU75" s="129"/>
      <c r="AV75" s="129"/>
      <c r="AW75" s="70"/>
    </row>
    <row r="76" spans="1:49" ht="12.75">
      <c r="A76" s="158" t="s">
        <v>177</v>
      </c>
      <c r="B76" s="44"/>
      <c r="C76" s="44"/>
      <c r="D76" s="44"/>
      <c r="E76" s="44"/>
      <c r="F76" s="44"/>
      <c r="G76" s="210" t="s">
        <v>933</v>
      </c>
      <c r="H76" s="44"/>
      <c r="I76" s="44"/>
      <c r="J76" s="76"/>
      <c r="N76" s="115" t="s">
        <v>929</v>
      </c>
      <c r="O76" s="72" t="str">
        <f>IF($C$16&gt;0,IF($C$17&lt;=$O$72,"Yes","No"),"N.A.")</f>
        <v>No</v>
      </c>
      <c r="P76" s="156"/>
      <c r="R76" s="78"/>
      <c r="S76" s="78"/>
      <c r="T76" s="78"/>
      <c r="U76" s="1"/>
      <c r="AH76" s="106"/>
      <c r="AI76" s="129"/>
      <c r="AJ76" s="129"/>
      <c r="AK76" s="129"/>
      <c r="AL76" s="130"/>
      <c r="AM76" s="129"/>
      <c r="AN76" s="129"/>
      <c r="AO76" s="129"/>
      <c r="AP76" s="129"/>
      <c r="AQ76" s="129"/>
      <c r="AR76" s="129"/>
      <c r="AS76" s="129"/>
      <c r="AT76" s="129"/>
      <c r="AU76" s="129"/>
      <c r="AV76" s="129"/>
      <c r="AW76" s="70"/>
    </row>
    <row r="77" spans="1:49" ht="12.75">
      <c r="A77" s="159" t="s">
        <v>158</v>
      </c>
      <c r="B77" s="26">
        <f>$O$67</f>
        <v>6</v>
      </c>
      <c r="C77" s="172" t="s">
        <v>8</v>
      </c>
      <c r="D77" s="120" t="str">
        <f>$Q$67</f>
        <v>e = d/2 (assume horiz. load taken at bot. flange)</v>
      </c>
      <c r="E77" s="157"/>
      <c r="F77" s="44"/>
      <c r="G77" s="44"/>
      <c r="H77" s="44"/>
      <c r="I77" s="44"/>
      <c r="J77" s="76"/>
      <c r="N77" s="115" t="s">
        <v>108</v>
      </c>
      <c r="O77" s="72" t="str">
        <f>IF($C$16&gt;0,IF($O$75&lt;=0.16,IF($O$16&lt;=640/SQRT($C$12)*(1-3.74*$O$75),"Yes","No"),IF($O$16&lt;=257/SQRT($C$12),"Yes","No")),"N.A.")</f>
        <v>Yes</v>
      </c>
      <c r="P77" s="77"/>
      <c r="Q77" s="123"/>
      <c r="R77" s="78"/>
      <c r="S77" s="78"/>
      <c r="T77" s="78"/>
      <c r="U77" s="1"/>
      <c r="AH77" s="106"/>
      <c r="AI77" s="129"/>
      <c r="AJ77" s="129"/>
      <c r="AK77" s="129"/>
      <c r="AL77" s="130"/>
      <c r="AM77" s="129"/>
      <c r="AN77" s="129"/>
      <c r="AO77" s="129"/>
      <c r="AP77" s="129"/>
      <c r="AQ77" s="129"/>
      <c r="AR77" s="129"/>
      <c r="AS77" s="129"/>
      <c r="AT77" s="129"/>
      <c r="AU77" s="129"/>
      <c r="AV77" s="129"/>
      <c r="AW77" s="70"/>
    </row>
    <row r="78" spans="1:49" ht="12.75">
      <c r="A78" s="159" t="s">
        <v>160</v>
      </c>
      <c r="B78" s="27">
        <f>$O$68</f>
        <v>21.662170094491497</v>
      </c>
      <c r="C78" s="173"/>
      <c r="D78" s="120" t="str">
        <f>$Q$68</f>
        <v>at = SQRT(E*Cw/(J*G)) , E=29000 ksi  and  G=11200 ksi</v>
      </c>
      <c r="E78" s="157"/>
      <c r="F78" s="44"/>
      <c r="G78" s="44"/>
      <c r="H78" s="44"/>
      <c r="I78" s="44"/>
      <c r="J78" s="76"/>
      <c r="N78" s="115" t="s">
        <v>110</v>
      </c>
      <c r="O78" s="70" t="str">
        <f>IF($C$16&gt;0,IF($O$15&lt;=65/SQRT($C$12),"Yes","No"),"N.A.")</f>
        <v>Yes</v>
      </c>
      <c r="P78" s="77"/>
      <c r="Q78" s="123"/>
      <c r="R78" s="78"/>
      <c r="S78" s="78"/>
      <c r="T78" s="78"/>
      <c r="U78" s="1"/>
      <c r="AH78" s="106"/>
      <c r="AI78" s="129"/>
      <c r="AJ78" s="129"/>
      <c r="AK78" s="129"/>
      <c r="AL78" s="129"/>
      <c r="AM78" s="129"/>
      <c r="AN78" s="129"/>
      <c r="AO78" s="129"/>
      <c r="AP78" s="129"/>
      <c r="AQ78" s="129"/>
      <c r="AR78" s="129"/>
      <c r="AS78" s="129"/>
      <c r="AT78" s="129"/>
      <c r="AU78" s="129"/>
      <c r="AV78" s="129"/>
      <c r="AW78" s="70"/>
    </row>
    <row r="79" spans="1:49" ht="12.75">
      <c r="A79" s="159" t="s">
        <v>159</v>
      </c>
      <c r="B79" s="16">
        <f>$O$69</f>
        <v>0.5331807204910433</v>
      </c>
      <c r="C79" s="172" t="s">
        <v>24</v>
      </c>
      <c r="D79" s="120" t="str">
        <f>$Q$69</f>
        <v>Mt = Ph*e*at/(d-tf)*TANH(Lo*12/at)/12</v>
      </c>
      <c r="E79" s="157"/>
      <c r="F79" s="44"/>
      <c r="G79" s="44"/>
      <c r="H79" s="44"/>
      <c r="I79" s="44"/>
      <c r="J79" s="76"/>
      <c r="N79" s="115" t="s">
        <v>111</v>
      </c>
      <c r="O79" s="70" t="str">
        <f>IF($C$16&gt;0,IF($O$15&gt;95/SQRT($C$12),"Yes","No"),"N.A.")</f>
        <v>No</v>
      </c>
      <c r="P79" s="77"/>
      <c r="Q79" s="123"/>
      <c r="R79" s="78"/>
      <c r="S79" s="78"/>
      <c r="T79" s="78"/>
      <c r="U79" s="1"/>
      <c r="W79" s="306" t="s">
        <v>981</v>
      </c>
      <c r="X79" s="306"/>
      <c r="Y79" s="306"/>
      <c r="Z79" s="306"/>
      <c r="AA79" s="306"/>
      <c r="AB79" s="306"/>
      <c r="AC79" s="306"/>
      <c r="AD79" s="306"/>
      <c r="AE79" s="306"/>
      <c r="AF79" s="306"/>
      <c r="AH79" s="106"/>
      <c r="AI79" s="129"/>
      <c r="AJ79" s="129"/>
      <c r="AK79" s="129"/>
      <c r="AL79" s="129"/>
      <c r="AM79" s="129"/>
      <c r="AN79" s="129"/>
      <c r="AO79" s="129"/>
      <c r="AP79" s="129"/>
      <c r="AQ79" s="129"/>
      <c r="AR79" s="129"/>
      <c r="AS79" s="129"/>
      <c r="AT79" s="129"/>
      <c r="AU79" s="129"/>
      <c r="AV79" s="129"/>
      <c r="AW79" s="70"/>
    </row>
    <row r="80" spans="1:49" ht="12.75">
      <c r="A80" s="83"/>
      <c r="B80" s="44"/>
      <c r="C80" s="44"/>
      <c r="D80" s="44"/>
      <c r="E80" s="44"/>
      <c r="F80" s="44"/>
      <c r="G80" s="44"/>
      <c r="H80" s="44"/>
      <c r="I80" s="44"/>
      <c r="J80" s="76"/>
      <c r="N80" s="115" t="s">
        <v>109</v>
      </c>
      <c r="O80" s="72" t="str">
        <f>IF($C$16&gt;0,IF(AND($O$76="Yes",$O$77="Yes",$O$78="Yes"),0.66*$C$12,"N.A."),"N.A.")</f>
        <v>N.A.</v>
      </c>
      <c r="P80" s="156" t="s">
        <v>117</v>
      </c>
      <c r="Q80" s="123" t="s">
        <v>122</v>
      </c>
      <c r="S80" s="78"/>
      <c r="T80" s="78"/>
      <c r="U80" s="1"/>
      <c r="W80" s="307" t="s">
        <v>909</v>
      </c>
      <c r="X80" s="308"/>
      <c r="Y80" s="308"/>
      <c r="Z80" s="308"/>
      <c r="AA80" s="308"/>
      <c r="AB80" s="308"/>
      <c r="AC80" s="308"/>
      <c r="AD80" s="308"/>
      <c r="AE80" s="308"/>
      <c r="AF80" s="309"/>
      <c r="AH80" s="106"/>
      <c r="AI80" s="129"/>
      <c r="AJ80" s="129"/>
      <c r="AK80" s="129"/>
      <c r="AL80" s="129"/>
      <c r="AM80" s="129"/>
      <c r="AN80" s="129"/>
      <c r="AO80" s="129"/>
      <c r="AP80" s="129"/>
      <c r="AQ80" s="129"/>
      <c r="AR80" s="129"/>
      <c r="AS80" s="129"/>
      <c r="AT80" s="129"/>
      <c r="AU80" s="129"/>
      <c r="AV80" s="129"/>
      <c r="AW80" s="70"/>
    </row>
    <row r="81" spans="1:49" ht="12.75">
      <c r="A81" s="84" t="s">
        <v>238</v>
      </c>
      <c r="B81" s="44"/>
      <c r="C81" s="44"/>
      <c r="D81" s="44"/>
      <c r="E81" s="44"/>
      <c r="F81" s="44"/>
      <c r="G81" s="44"/>
      <c r="H81" s="44"/>
      <c r="I81" s="44"/>
      <c r="J81" s="76"/>
      <c r="N81" s="115" t="s">
        <v>109</v>
      </c>
      <c r="O81" s="75" t="str">
        <f>IF($C$16&gt;0,IF(AND($O$76="Yes",$O$77="Yes",$O$78="No",$O$79="No"),$C$12*(0.79-0.002*$O$15*SQRT($C$12)),"N.A."),"N.A.")</f>
        <v>N.A.</v>
      </c>
      <c r="P81" s="156" t="s">
        <v>123</v>
      </c>
      <c r="Q81" s="123" t="s">
        <v>124</v>
      </c>
      <c r="S81" s="78"/>
      <c r="T81" s="78"/>
      <c r="U81" s="1"/>
      <c r="V81" s="78"/>
      <c r="W81" s="310" t="s">
        <v>158</v>
      </c>
      <c r="X81" s="311">
        <f>$F$20/2</f>
        <v>6</v>
      </c>
      <c r="Y81" s="312" t="s">
        <v>8</v>
      </c>
      <c r="Z81" s="313" t="s">
        <v>187</v>
      </c>
      <c r="AA81" s="313"/>
      <c r="AB81" s="313"/>
      <c r="AC81" s="313"/>
      <c r="AD81" s="313"/>
      <c r="AE81" s="313"/>
      <c r="AF81" s="314"/>
      <c r="AH81" s="106"/>
      <c r="AI81" s="129"/>
      <c r="AJ81" s="129"/>
      <c r="AK81" s="129"/>
      <c r="AL81" s="129"/>
      <c r="AM81" s="129"/>
      <c r="AN81" s="129"/>
      <c r="AO81" s="129"/>
      <c r="AP81" s="129"/>
      <c r="AQ81" s="129"/>
      <c r="AR81" s="129"/>
      <c r="AS81" s="129"/>
      <c r="AT81" s="129"/>
      <c r="AU81" s="129"/>
      <c r="AV81" s="129"/>
      <c r="AW81" s="70"/>
    </row>
    <row r="82" spans="1:49" ht="12.75">
      <c r="A82" s="85" t="s">
        <v>25</v>
      </c>
      <c r="B82" s="15">
        <f>$O$71</f>
        <v>4.6600790513833985</v>
      </c>
      <c r="C82" s="96" t="s">
        <v>9</v>
      </c>
      <c r="D82" s="48" t="str">
        <f>$Q$71</f>
        <v>fbx = Mx/Sx</v>
      </c>
      <c r="E82" s="44"/>
      <c r="F82" s="44"/>
      <c r="G82" s="44"/>
      <c r="H82" s="44"/>
      <c r="I82" s="44"/>
      <c r="J82" s="76"/>
      <c r="N82" s="115" t="s">
        <v>109</v>
      </c>
      <c r="O82" s="75" t="str">
        <f>IF($C$16&gt;0,IF($C$17&lt;=76*$F$22/SQRT($C$12)/12,IF(OR($O$77="No",$O$78="No",$O$79="Yes"),$O$17*0.6*$C$12,"N.A."),"N.A."),"N.A.")</f>
        <v>N.A.</v>
      </c>
      <c r="P82" s="156" t="s">
        <v>118</v>
      </c>
      <c r="Q82" s="123" t="s">
        <v>125</v>
      </c>
      <c r="S82" s="116"/>
      <c r="T82" s="78"/>
      <c r="V82" s="78"/>
      <c r="W82" s="310" t="s">
        <v>184</v>
      </c>
      <c r="X82" s="311">
        <f>$B$33*$X$81</f>
        <v>3.6000000000000005</v>
      </c>
      <c r="Y82" s="312" t="s">
        <v>186</v>
      </c>
      <c r="Z82" s="313" t="s">
        <v>188</v>
      </c>
      <c r="AA82" s="313"/>
      <c r="AB82" s="313"/>
      <c r="AC82" s="313"/>
      <c r="AD82" s="313"/>
      <c r="AE82" s="313"/>
      <c r="AF82" s="314"/>
      <c r="AH82" s="106"/>
      <c r="AI82" s="129"/>
      <c r="AJ82" s="129"/>
      <c r="AK82" s="129"/>
      <c r="AL82" s="129"/>
      <c r="AM82" s="129"/>
      <c r="AN82" s="129"/>
      <c r="AO82" s="129"/>
      <c r="AP82" s="129"/>
      <c r="AQ82" s="129"/>
      <c r="AR82" s="129"/>
      <c r="AS82" s="129"/>
      <c r="AT82" s="129"/>
      <c r="AU82" s="129"/>
      <c r="AV82" s="129"/>
      <c r="AW82" s="70"/>
    </row>
    <row r="83" spans="1:49" ht="12.75">
      <c r="A83" s="117" t="s">
        <v>180</v>
      </c>
      <c r="B83" s="17">
        <f>$O$74</f>
        <v>110.4</v>
      </c>
      <c r="C83" s="104"/>
      <c r="D83" s="44" t="str">
        <f>$Q$74</f>
        <v>Lbo/rt = Lbo*12/rt</v>
      </c>
      <c r="E83" s="44"/>
      <c r="F83" s="44"/>
      <c r="G83" s="44"/>
      <c r="H83" s="44"/>
      <c r="I83" s="44"/>
      <c r="J83" s="76"/>
      <c r="N83" s="115" t="s">
        <v>109</v>
      </c>
      <c r="O83" s="75">
        <f>IF($C$16&gt;0,IF($E$16&gt;=0,IF($C$17&gt;$O$72,IF(OR($O$76="No",$O$77="No",$O$79="Yes"),IF(AND($O$74&gt;SQRT(102000*$C$18/$C$12),$O$74&lt;=SQRT(510000*$C$18/$C$12)),MIN((2/3-$C$12*$O$74^2/(1530000*$C$18))*$C$12,$O$17*0.6*$C$12),"N.A."),"N.A."),"N.A."),"N.A."),"N.A.")</f>
        <v>13.675911529411763</v>
      </c>
      <c r="P83" s="77" t="s">
        <v>119</v>
      </c>
      <c r="Q83" s="123" t="s">
        <v>927</v>
      </c>
      <c r="S83" s="116"/>
      <c r="T83" s="78"/>
      <c r="W83" s="310" t="s">
        <v>160</v>
      </c>
      <c r="X83" s="311">
        <f>SQRT(29000*$I$25/($I$24*11200))</f>
        <v>21.662170094491497</v>
      </c>
      <c r="Y83" s="312"/>
      <c r="Z83" s="313" t="s">
        <v>161</v>
      </c>
      <c r="AA83" s="313"/>
      <c r="AB83" s="313"/>
      <c r="AC83" s="313"/>
      <c r="AD83" s="313"/>
      <c r="AE83" s="313"/>
      <c r="AF83" s="314"/>
      <c r="AH83" s="106"/>
      <c r="AI83" s="129"/>
      <c r="AJ83" s="129"/>
      <c r="AK83" s="129"/>
      <c r="AL83" s="129"/>
      <c r="AM83" s="129"/>
      <c r="AN83" s="129"/>
      <c r="AO83" s="129"/>
      <c r="AP83" s="129"/>
      <c r="AQ83" s="129"/>
      <c r="AR83" s="129"/>
      <c r="AS83" s="129"/>
      <c r="AT83" s="129"/>
      <c r="AU83" s="129"/>
      <c r="AV83" s="129"/>
      <c r="AW83" s="70"/>
    </row>
    <row r="84" spans="1:54" ht="12.75">
      <c r="A84" s="85" t="s">
        <v>109</v>
      </c>
      <c r="B84" s="16">
        <f>$O$87</f>
        <v>21.599999999999998</v>
      </c>
      <c r="C84" s="96" t="s">
        <v>9</v>
      </c>
      <c r="D84" s="44" t="str">
        <f>VLOOKUP($O$87,$O$80:$Q$85,3,FALSE)</f>
        <v>Fbx = 12000*Cbo/(Lbo*12*(d/Af)) &lt;= 0.60*Fy</v>
      </c>
      <c r="E84" s="44"/>
      <c r="F84" s="44"/>
      <c r="G84" s="44"/>
      <c r="H84" s="44"/>
      <c r="I84" s="160" t="str">
        <f>IF($C$16&gt;0,IF($B$82&lt;=$B$84,"fbx &lt;= Fbx,  O.K.","fbx &gt; Fbx"),"")</f>
        <v>fbx &lt;= Fbx,  O.K.</v>
      </c>
      <c r="J84" s="76"/>
      <c r="N84" s="115" t="s">
        <v>109</v>
      </c>
      <c r="O84" s="75" t="str">
        <f>IF($C$16&gt;0,IF($E$16&gt;=0,IF($C$17&gt;$O$72,IF(OR($O$76="No",$O$77="No",$O$79="Yes"),IF(AND($O$74&gt;SQRT(102000*$C$18/$C$12),$O$74&gt;SQRT(510000*$C$18/$C$12)),MIN(170000*$C$18/$O$74^2,$O$17*0.6*$C$12),"N.A."),"N.A."),"N.A."),"N.A."),"N.A.")</f>
        <v>N.A.</v>
      </c>
      <c r="P84" s="77" t="s">
        <v>120</v>
      </c>
      <c r="Q84" s="123" t="s">
        <v>928</v>
      </c>
      <c r="S84" s="116"/>
      <c r="T84" s="78"/>
      <c r="U84" s="71"/>
      <c r="W84" s="310" t="s">
        <v>189</v>
      </c>
      <c r="X84" s="315">
        <f>($F$20-$F$23)*$F$22/4</f>
        <v>15.53717</v>
      </c>
      <c r="Y84" s="316" t="s">
        <v>17</v>
      </c>
      <c r="Z84" s="313" t="s">
        <v>190</v>
      </c>
      <c r="AA84" s="313"/>
      <c r="AB84" s="313"/>
      <c r="AC84" s="313"/>
      <c r="AD84" s="313"/>
      <c r="AE84" s="313"/>
      <c r="AF84" s="314"/>
      <c r="AH84" s="106"/>
      <c r="AI84" s="129"/>
      <c r="AJ84" s="129"/>
      <c r="AK84" s="129"/>
      <c r="AL84" s="129"/>
      <c r="AM84" s="129"/>
      <c r="AN84" s="129"/>
      <c r="AO84" s="129"/>
      <c r="AP84" s="129"/>
      <c r="AQ84" s="129"/>
      <c r="AR84" s="129"/>
      <c r="AS84" s="129"/>
      <c r="AT84" s="129"/>
      <c r="AU84" s="129"/>
      <c r="AV84" s="129"/>
      <c r="AW84" s="70"/>
      <c r="BA84" s="204" t="s">
        <v>225</v>
      </c>
      <c r="BB84" s="205">
        <f>IF($C$16&gt;0,$B$82/$B$84,"")</f>
        <v>0.21574440052700922</v>
      </c>
    </row>
    <row r="85" spans="1:49" ht="12.75">
      <c r="A85" s="83"/>
      <c r="B85" s="44"/>
      <c r="C85" s="44"/>
      <c r="D85" s="44"/>
      <c r="E85" s="44"/>
      <c r="F85" s="44"/>
      <c r="G85" s="44"/>
      <c r="H85" s="44"/>
      <c r="I85" s="44"/>
      <c r="J85" s="76"/>
      <c r="M85" s="142"/>
      <c r="N85" s="115" t="s">
        <v>109</v>
      </c>
      <c r="O85" s="75">
        <f>IF($C$16&gt;0,IF($E$16&gt;=0,IF($C$17&gt;$O$72,IF(OR($O$76="No",$O$77="No",$O$79="Yes"),MIN(12000*$C$18/($C$17*12*$I$19),$O$17*0.6*$C$12),"N.A."),$O$17*0.6*$C$12),"N.A."),"N.A.")</f>
        <v>21.599999999999998</v>
      </c>
      <c r="P85" s="77" t="s">
        <v>121</v>
      </c>
      <c r="Q85" s="123" t="s">
        <v>958</v>
      </c>
      <c r="S85" s="78"/>
      <c r="T85" s="78"/>
      <c r="U85" s="49"/>
      <c r="W85" s="317" t="s">
        <v>982</v>
      </c>
      <c r="X85" s="311">
        <f>1</f>
        <v>1</v>
      </c>
      <c r="Y85" s="312"/>
      <c r="Z85" s="318" t="s">
        <v>989</v>
      </c>
      <c r="AA85" s="313"/>
      <c r="AB85" s="313"/>
      <c r="AC85" s="313"/>
      <c r="AD85" s="313"/>
      <c r="AE85" s="313"/>
      <c r="AF85" s="314"/>
      <c r="AH85" s="106"/>
      <c r="AI85" s="129"/>
      <c r="AJ85" s="129"/>
      <c r="AK85" s="129"/>
      <c r="AL85" s="129"/>
      <c r="AM85" s="129"/>
      <c r="AN85" s="129"/>
      <c r="AO85" s="129"/>
      <c r="AP85" s="129"/>
      <c r="AQ85" s="129"/>
      <c r="AR85" s="129"/>
      <c r="AS85" s="129"/>
      <c r="AT85" s="129"/>
      <c r="AU85" s="129"/>
      <c r="AV85" s="129"/>
      <c r="AW85" s="70"/>
    </row>
    <row r="86" spans="1:49" ht="12.75">
      <c r="A86" s="84" t="s">
        <v>239</v>
      </c>
      <c r="B86" s="44"/>
      <c r="C86" s="44"/>
      <c r="D86" s="44"/>
      <c r="E86" s="44"/>
      <c r="F86" s="44"/>
      <c r="G86" s="44"/>
      <c r="H86" s="44"/>
      <c r="I86" s="44"/>
      <c r="J86" s="76"/>
      <c r="M86" s="142"/>
      <c r="N86" s="115" t="s">
        <v>109</v>
      </c>
      <c r="O86" s="75">
        <f>IF($C$16&gt;0,IF($E$16&gt;=0,IF($O$74&gt;SQRT(102000*$C$18/$C$12),IF($O$74&lt;=SQRT(510000*$C$18/$C$12),MIN(MAX($O$83,$O$85),$O$17*0.6*$C$12),MIN(MAX($O$84,$O$85),$O$17*0.6*$C$12)),$O$17*0.6*$C$12),0.6*$C$12),"N.A.")</f>
        <v>21.599999999999998</v>
      </c>
      <c r="P86" s="77" t="s">
        <v>128</v>
      </c>
      <c r="Q86" s="78"/>
      <c r="R86" s="78"/>
      <c r="S86" s="78"/>
      <c r="T86" s="78"/>
      <c r="U86" s="49"/>
      <c r="W86" s="310" t="s">
        <v>185</v>
      </c>
      <c r="X86" s="311">
        <v>0</v>
      </c>
      <c r="Y86" s="312" t="s">
        <v>8</v>
      </c>
      <c r="Z86" s="313" t="s">
        <v>220</v>
      </c>
      <c r="AA86" s="313"/>
      <c r="AB86" s="313"/>
      <c r="AC86" s="313"/>
      <c r="AD86" s="313"/>
      <c r="AE86" s="313"/>
      <c r="AF86" s="314"/>
      <c r="AH86" s="106"/>
      <c r="AI86" s="129"/>
      <c r="AJ86" s="129"/>
      <c r="AK86" s="129"/>
      <c r="AL86" s="129"/>
      <c r="AM86" s="129"/>
      <c r="AN86" s="129"/>
      <c r="AO86" s="129"/>
      <c r="AP86" s="129"/>
      <c r="AQ86" s="129"/>
      <c r="AR86" s="129"/>
      <c r="AS86" s="129"/>
      <c r="AT86" s="129"/>
      <c r="AU86" s="129"/>
      <c r="AV86" s="129"/>
      <c r="AW86" s="70"/>
    </row>
    <row r="87" spans="1:49" ht="12.75">
      <c r="A87" s="85" t="s">
        <v>192</v>
      </c>
      <c r="B87" s="15">
        <f>$O$89</f>
        <v>3.3216168717047454</v>
      </c>
      <c r="C87" s="96" t="s">
        <v>9</v>
      </c>
      <c r="D87" s="120" t="str">
        <f>$Q$89</f>
        <v>fby = My/Sy</v>
      </c>
      <c r="E87" s="44"/>
      <c r="F87" s="44"/>
      <c r="G87" s="44"/>
      <c r="H87" s="44"/>
      <c r="I87" s="44"/>
      <c r="J87" s="76"/>
      <c r="M87" s="142"/>
      <c r="N87" s="121" t="s">
        <v>112</v>
      </c>
      <c r="O87" s="79">
        <f>IF($C$16&gt;0,IF($O$76="Yes",IF($O$77="Yes",IF($O$78="Yes",$O$80,IF($O$79="No",$O$81,$O$86)),$O$86),$O$86),"N.A.")</f>
        <v>21.599999999999998</v>
      </c>
      <c r="P87" s="156" t="s">
        <v>9</v>
      </c>
      <c r="Q87" s="78"/>
      <c r="R87" s="78"/>
      <c r="S87" s="78"/>
      <c r="T87" s="78"/>
      <c r="U87" s="45"/>
      <c r="W87" s="310" t="s">
        <v>182</v>
      </c>
      <c r="X87" s="319">
        <f>$X$45/($I$24*11200)</f>
        <v>0.00011603919546157815</v>
      </c>
      <c r="Y87" s="312"/>
      <c r="Z87" s="313" t="s">
        <v>191</v>
      </c>
      <c r="AA87" s="313"/>
      <c r="AB87" s="313"/>
      <c r="AC87" s="313"/>
      <c r="AD87" s="313"/>
      <c r="AE87" s="313"/>
      <c r="AF87" s="314"/>
      <c r="AH87" s="106"/>
      <c r="AI87" s="129"/>
      <c r="AJ87" s="129"/>
      <c r="AK87" s="129"/>
      <c r="AL87" s="129"/>
      <c r="AM87" s="129"/>
      <c r="AN87" s="129"/>
      <c r="AO87" s="129"/>
      <c r="AP87" s="129"/>
      <c r="AQ87" s="129"/>
      <c r="AR87" s="129"/>
      <c r="AS87" s="129"/>
      <c r="AT87" s="129"/>
      <c r="AU87" s="129"/>
      <c r="AV87" s="129"/>
      <c r="AW87" s="70"/>
    </row>
    <row r="88" spans="1:49" ht="12.75">
      <c r="A88" s="85" t="s">
        <v>194</v>
      </c>
      <c r="B88" s="17">
        <f>$O$90</f>
        <v>2.2489169229850683</v>
      </c>
      <c r="C88" s="96" t="s">
        <v>9</v>
      </c>
      <c r="D88" s="120" t="str">
        <f>$Q$90</f>
        <v>fwns = Mt*12/(Sy/2) (warping normal stress)</v>
      </c>
      <c r="E88" s="44"/>
      <c r="F88" s="44"/>
      <c r="G88" s="44"/>
      <c r="H88" s="44"/>
      <c r="I88" s="44"/>
      <c r="J88" s="76"/>
      <c r="N88" s="108" t="s">
        <v>239</v>
      </c>
      <c r="W88" s="310" t="s">
        <v>183</v>
      </c>
      <c r="X88" s="326">
        <f>SINH($X$85*$C$16*12/$X$83)-TANH($C$16*12/$X$83)*COSH($X$85*$C$16*12/$X$83)+TANH($C$16*12/$X$83)</f>
        <v>0.930470419893676</v>
      </c>
      <c r="Y88" s="312"/>
      <c r="Z88" s="313" t="s">
        <v>990</v>
      </c>
      <c r="AA88" s="313"/>
      <c r="AB88" s="313"/>
      <c r="AC88" s="313"/>
      <c r="AD88" s="313"/>
      <c r="AE88" s="313"/>
      <c r="AF88" s="314"/>
      <c r="AH88" s="106"/>
      <c r="AI88" s="129"/>
      <c r="AJ88" s="129"/>
      <c r="AK88" s="129"/>
      <c r="AL88" s="129"/>
      <c r="AM88" s="129"/>
      <c r="AN88" s="129"/>
      <c r="AO88" s="129"/>
      <c r="AP88" s="129"/>
      <c r="AQ88" s="129"/>
      <c r="AR88" s="129"/>
      <c r="AS88" s="129"/>
      <c r="AT88" s="129"/>
      <c r="AU88" s="129"/>
      <c r="AV88" s="129"/>
      <c r="AW88" s="70"/>
    </row>
    <row r="89" spans="1:49" ht="12.75">
      <c r="A89" s="85" t="s">
        <v>166</v>
      </c>
      <c r="B89" s="17">
        <f>$O$91</f>
        <v>5.570533794689814</v>
      </c>
      <c r="C89" s="96" t="s">
        <v>9</v>
      </c>
      <c r="D89" s="120" t="str">
        <f>$Q$91</f>
        <v>fby(total) = fby+fwns</v>
      </c>
      <c r="E89" s="44"/>
      <c r="F89" s="44"/>
      <c r="G89" s="44"/>
      <c r="H89" s="44"/>
      <c r="I89" s="44"/>
      <c r="J89" s="76"/>
      <c r="N89" s="115" t="s">
        <v>192</v>
      </c>
      <c r="O89" s="75">
        <f>IF($C$16&gt;0,$O$65*12/$I$23,"N.A")</f>
        <v>3.3216168717047454</v>
      </c>
      <c r="P89" s="156" t="s">
        <v>9</v>
      </c>
      <c r="Q89" s="123" t="s">
        <v>193</v>
      </c>
      <c r="R89" s="78"/>
      <c r="W89" s="317" t="s">
        <v>985</v>
      </c>
      <c r="X89" s="326">
        <f>$X$87/$X$83*($X$88*COSH($X$86/$X$83)-SINH($X$86/$X$83))</f>
        <v>4.984313134569794E-06</v>
      </c>
      <c r="Y89" s="312"/>
      <c r="Z89" s="318" t="s">
        <v>991</v>
      </c>
      <c r="AA89" s="313"/>
      <c r="AB89" s="313"/>
      <c r="AC89" s="313"/>
      <c r="AD89" s="313"/>
      <c r="AE89" s="313"/>
      <c r="AF89" s="314"/>
      <c r="AH89" s="106"/>
      <c r="AI89" s="129"/>
      <c r="AJ89" s="129"/>
      <c r="AK89" s="129"/>
      <c r="AL89" s="129"/>
      <c r="AM89" s="129"/>
      <c r="AN89" s="129"/>
      <c r="AO89" s="129"/>
      <c r="AP89" s="129"/>
      <c r="AQ89" s="129"/>
      <c r="AR89" s="129"/>
      <c r="AS89" s="129"/>
      <c r="AT89" s="129"/>
      <c r="AU89" s="129"/>
      <c r="AV89" s="129"/>
      <c r="AW89" s="70"/>
    </row>
    <row r="90" spans="1:54" ht="12.75">
      <c r="A90" s="85" t="s">
        <v>106</v>
      </c>
      <c r="B90" s="16">
        <f>$O$92</f>
        <v>27</v>
      </c>
      <c r="C90" s="96" t="s">
        <v>9</v>
      </c>
      <c r="D90" s="141" t="str">
        <f>$Q$92</f>
        <v>Fby = 0.75*Fy</v>
      </c>
      <c r="E90" s="44"/>
      <c r="F90" s="44"/>
      <c r="G90" s="44"/>
      <c r="H90" s="44"/>
      <c r="I90" s="160" t="str">
        <f>IF($C$16&gt;0,IF($B$89&lt;=$B$90,"fby &lt;= Fby,  O.K.","fby &gt; Fby"),"")</f>
        <v>fby &lt;= Fby,  O.K.</v>
      </c>
      <c r="J90" s="76"/>
      <c r="N90" s="136" t="s">
        <v>194</v>
      </c>
      <c r="O90" s="75">
        <f>IF($C$16&gt;0,$O$69*12/($I$23/2),"N.A.")</f>
        <v>2.2489169229850683</v>
      </c>
      <c r="P90" s="156" t="s">
        <v>9</v>
      </c>
      <c r="Q90" s="78" t="s">
        <v>195</v>
      </c>
      <c r="W90" s="320" t="s">
        <v>987</v>
      </c>
      <c r="X90" s="321">
        <f>ABS(29000*$X$84*$X$89)</f>
        <v>2.245821494646269</v>
      </c>
      <c r="Y90" s="322" t="s">
        <v>9</v>
      </c>
      <c r="Z90" s="323" t="s">
        <v>988</v>
      </c>
      <c r="AA90" s="324"/>
      <c r="AB90" s="324"/>
      <c r="AC90" s="324"/>
      <c r="AD90" s="324"/>
      <c r="AE90" s="324"/>
      <c r="AF90" s="325"/>
      <c r="AH90" s="106"/>
      <c r="AI90" s="129"/>
      <c r="AJ90" s="129"/>
      <c r="AK90" s="129"/>
      <c r="AL90" s="129"/>
      <c r="AM90" s="129"/>
      <c r="AN90" s="129"/>
      <c r="AO90" s="129"/>
      <c r="AP90" s="129"/>
      <c r="AQ90" s="129"/>
      <c r="AR90" s="129"/>
      <c r="AS90" s="129"/>
      <c r="AT90" s="129"/>
      <c r="AU90" s="129"/>
      <c r="AV90" s="129"/>
      <c r="AW90" s="70"/>
      <c r="BA90" s="204" t="s">
        <v>225</v>
      </c>
      <c r="BB90" s="205">
        <f>IF($C$16&gt;0,$B$89/$B$90,"")</f>
        <v>0.2063160664699931</v>
      </c>
    </row>
    <row r="91" spans="1:49" ht="12.75">
      <c r="A91" s="83"/>
      <c r="B91" s="44"/>
      <c r="C91" s="44"/>
      <c r="D91" s="44"/>
      <c r="E91" s="44"/>
      <c r="F91" s="44"/>
      <c r="G91" s="44"/>
      <c r="H91" s="44"/>
      <c r="I91" s="44"/>
      <c r="J91" s="76"/>
      <c r="N91" s="136" t="s">
        <v>166</v>
      </c>
      <c r="O91" s="75">
        <f>IF($C$16&gt;0,$O$89+$O$90,"N.A.")</f>
        <v>5.570533794689814</v>
      </c>
      <c r="P91" s="156" t="s">
        <v>9</v>
      </c>
      <c r="Q91" s="78" t="s">
        <v>196</v>
      </c>
      <c r="X91" s="192"/>
      <c r="AH91" s="106"/>
      <c r="AI91" s="129"/>
      <c r="AJ91" s="129"/>
      <c r="AK91" s="129"/>
      <c r="AL91" s="129"/>
      <c r="AM91" s="129"/>
      <c r="AN91" s="129"/>
      <c r="AO91" s="129"/>
      <c r="AP91" s="129"/>
      <c r="AQ91" s="129"/>
      <c r="AR91" s="129"/>
      <c r="AS91" s="129"/>
      <c r="AT91" s="129"/>
      <c r="AU91" s="129"/>
      <c r="AV91" s="129"/>
      <c r="AW91" s="70"/>
    </row>
    <row r="92" spans="1:49" ht="12.75">
      <c r="A92" s="84" t="s">
        <v>178</v>
      </c>
      <c r="B92" s="44"/>
      <c r="C92" s="44"/>
      <c r="D92" s="44"/>
      <c r="E92" s="44"/>
      <c r="F92" s="44"/>
      <c r="G92" s="44"/>
      <c r="H92" s="44"/>
      <c r="I92" s="44"/>
      <c r="J92" s="76"/>
      <c r="N92" s="121" t="s">
        <v>106</v>
      </c>
      <c r="O92" s="79">
        <f>IF($C$16&gt;0,IF($O$15&lt;=65/SQRT($C$12),0.75*$C$12,IF($O$15&lt;=95/SQRT($C$12),$C$12*(1.075-0.005*$F$22/(2*$F$23)*SQRT($C$12)),$O$17*0.6*$C$12)),"N.A.")</f>
        <v>27</v>
      </c>
      <c r="P92" s="156" t="s">
        <v>9</v>
      </c>
      <c r="Q92" s="119" t="str">
        <f>IF($O$15&lt;=65/SQRT($C$12),"Fby = 0.75*Fy",IF($O$15&lt;=95/SQRT($C$12),"Fby = Fy*(1.075-0.005*bf/(2*tf)*SQRT(Fy))","Qs*0.6*Fy"))</f>
        <v>Fby = 0.75*Fy</v>
      </c>
      <c r="R92" s="78"/>
      <c r="X92" s="192"/>
      <c r="AH92" s="106"/>
      <c r="AI92" s="129"/>
      <c r="AJ92" s="129"/>
      <c r="AK92" s="129"/>
      <c r="AL92" s="129"/>
      <c r="AM92" s="129"/>
      <c r="AN92" s="129"/>
      <c r="AO92" s="129"/>
      <c r="AP92" s="129"/>
      <c r="AQ92" s="129"/>
      <c r="AR92" s="129"/>
      <c r="AS92" s="129"/>
      <c r="AT92" s="129"/>
      <c r="AU92" s="129"/>
      <c r="AV92" s="129"/>
      <c r="AW92" s="70"/>
    </row>
    <row r="93" spans="1:54" ht="12.75">
      <c r="A93" s="85" t="s">
        <v>167</v>
      </c>
      <c r="B93" s="164">
        <f>$O$94</f>
        <v>0.4220604669970023</v>
      </c>
      <c r="C93" s="44"/>
      <c r="D93" s="141" t="str">
        <f>$Q$94</f>
        <v>S.R. = fbx/Fbx+fby(total)/Fby</v>
      </c>
      <c r="E93" s="44"/>
      <c r="F93" s="44"/>
      <c r="G93" s="44"/>
      <c r="H93" s="44"/>
      <c r="I93" s="160" t="str">
        <f>IF($C$16&gt;0,IF($B$93&lt;=1,"S.R. &lt;= 1.0,  O.K.","S.R. &gt; 1.0"),"")</f>
        <v>S.R. &lt;= 1.0,  O.K.</v>
      </c>
      <c r="J93" s="76"/>
      <c r="N93" s="143" t="s">
        <v>178</v>
      </c>
      <c r="X93" s="192"/>
      <c r="AH93" s="106"/>
      <c r="AI93" s="129"/>
      <c r="AJ93" s="129"/>
      <c r="AK93" s="129"/>
      <c r="AL93" s="130"/>
      <c r="AM93" s="129"/>
      <c r="AN93" s="129"/>
      <c r="AO93" s="129"/>
      <c r="AP93" s="129"/>
      <c r="AQ93" s="129"/>
      <c r="AR93" s="129"/>
      <c r="AS93" s="129"/>
      <c r="AT93" s="129"/>
      <c r="AU93" s="129"/>
      <c r="AV93" s="129"/>
      <c r="AW93" s="70"/>
      <c r="BA93" s="204" t="s">
        <v>225</v>
      </c>
      <c r="BB93" s="205">
        <f>IF($C$16&gt;0,$B$93,"")</f>
        <v>0.4220604669970023</v>
      </c>
    </row>
    <row r="94" spans="1:49" ht="12.75">
      <c r="A94" s="83"/>
      <c r="B94" s="44"/>
      <c r="C94" s="44"/>
      <c r="D94" s="44"/>
      <c r="E94" s="44"/>
      <c r="F94" s="44"/>
      <c r="G94" s="44"/>
      <c r="H94" s="44"/>
      <c r="I94" s="44"/>
      <c r="J94" s="76"/>
      <c r="N94" s="115" t="s">
        <v>167</v>
      </c>
      <c r="O94" s="1">
        <f>IF($C$16&gt;0,$O$71/$O$87+$O$91/$O$92,"N.A.")</f>
        <v>0.4220604669970023</v>
      </c>
      <c r="P94" s="78"/>
      <c r="Q94" s="78" t="s">
        <v>168</v>
      </c>
      <c r="AH94" s="106"/>
      <c r="AI94" s="129"/>
      <c r="AJ94" s="129"/>
      <c r="AK94" s="129"/>
      <c r="AL94" s="130"/>
      <c r="AM94" s="129"/>
      <c r="AN94" s="129"/>
      <c r="AO94" s="129"/>
      <c r="AP94" s="129"/>
      <c r="AQ94" s="129"/>
      <c r="AR94" s="129"/>
      <c r="AS94" s="129"/>
      <c r="AT94" s="129"/>
      <c r="AU94" s="129"/>
      <c r="AV94" s="129"/>
      <c r="AW94" s="70"/>
    </row>
    <row r="95" spans="1:49" ht="12.75">
      <c r="A95" s="84" t="s">
        <v>172</v>
      </c>
      <c r="B95" s="44"/>
      <c r="C95" s="44"/>
      <c r="D95" s="300" t="str">
        <f>$Q$95</f>
        <v>(for Nw = 4 and S &lt; Lo, assume all of Pv without impact at end of overhang)</v>
      </c>
      <c r="E95" s="44"/>
      <c r="F95" s="44"/>
      <c r="G95" s="44"/>
      <c r="H95" s="44"/>
      <c r="I95" s="50"/>
      <c r="J95" s="76"/>
      <c r="N95" s="143" t="s">
        <v>172</v>
      </c>
      <c r="Q95" s="304" t="str">
        <f>IF(AND($C$24=4,$C$25&lt;$C$16),"(for Nw = 4 and S &lt; Lo, assume all of Pv without impact at end of overhang)",IF(AND($C$24=4,$C$25&gt;=$C$16),"(for Nw = 4 and S &gt;= Lo, assume 1/2 of Pv without impact at end of overhang)",IF($C$24=2,"(for Nw = 2, assume Pv without impact at end of overhang)")))</f>
        <v>(for Nw = 4 and S &lt; Lo, assume all of Pv without impact at end of overhang)</v>
      </c>
      <c r="R95" s="140"/>
      <c r="W95" s="299"/>
      <c r="AH95" s="106"/>
      <c r="AI95" s="129"/>
      <c r="AJ95" s="129"/>
      <c r="AK95" s="129"/>
      <c r="AL95" s="129"/>
      <c r="AM95" s="129"/>
      <c r="AN95" s="129"/>
      <c r="AO95" s="129"/>
      <c r="AP95" s="129"/>
      <c r="AQ95" s="129"/>
      <c r="AR95" s="129"/>
      <c r="AS95" s="129"/>
      <c r="AT95" s="129"/>
      <c r="AU95" s="129"/>
      <c r="AV95" s="129"/>
      <c r="AW95" s="70"/>
    </row>
    <row r="96" spans="1:49" ht="12.75">
      <c r="A96" s="85" t="s">
        <v>132</v>
      </c>
      <c r="B96" s="26">
        <f>$O$96</f>
        <v>6.5</v>
      </c>
      <c r="C96" s="96" t="s">
        <v>7</v>
      </c>
      <c r="D96" s="44" t="str">
        <f>$Q$96</f>
        <v>Pv = P+Wh+Wt (without vertical impact)</v>
      </c>
      <c r="E96" s="44"/>
      <c r="F96" s="44"/>
      <c r="G96" s="44"/>
      <c r="H96" s="44"/>
      <c r="I96" s="44"/>
      <c r="J96" s="76"/>
      <c r="N96" s="136" t="s">
        <v>132</v>
      </c>
      <c r="O96" s="73">
        <f>IF($C$16&gt;0,($C$19+$C$21+$C$20),"N.A.")</f>
        <v>6.5</v>
      </c>
      <c r="P96" s="155" t="s">
        <v>7</v>
      </c>
      <c r="Q96" s="111" t="s">
        <v>228</v>
      </c>
      <c r="X96" s="299"/>
      <c r="AH96" s="106"/>
      <c r="AI96" s="129"/>
      <c r="AJ96" s="129"/>
      <c r="AK96" s="129"/>
      <c r="AL96" s="129"/>
      <c r="AM96" s="129"/>
      <c r="AN96" s="129"/>
      <c r="AO96" s="129"/>
      <c r="AP96" s="129"/>
      <c r="AQ96" s="129"/>
      <c r="AR96" s="129"/>
      <c r="AS96" s="129"/>
      <c r="AT96" s="129"/>
      <c r="AU96" s="129"/>
      <c r="AV96" s="129"/>
      <c r="AW96" s="70"/>
    </row>
    <row r="97" spans="1:49" ht="12.75">
      <c r="A97" s="86" t="s">
        <v>137</v>
      </c>
      <c r="B97" s="211">
        <f>$O$97</f>
        <v>0.0715083646295664</v>
      </c>
      <c r="C97" s="104" t="s">
        <v>8</v>
      </c>
      <c r="D97" s="97" t="s">
        <v>137</v>
      </c>
      <c r="E97" s="104" t="str">
        <f>$R$97</f>
        <v>Pv*Lo^2*(L+Lo)/(3*E*I)+w/12000*Lo*(4*Lo^2*L-L^3+3*Lo^3)/(24*E*I)</v>
      </c>
      <c r="F97" s="44"/>
      <c r="G97" s="44"/>
      <c r="H97" s="44"/>
      <c r="I97" s="44"/>
      <c r="J97" s="76"/>
      <c r="M97" s="142"/>
      <c r="N97" s="144" t="s">
        <v>138</v>
      </c>
      <c r="O97" s="303">
        <f>IF(AND($C$24=4,$C$25&lt;$C$16),$O$96*($C$16*12)^2*($C$13*12+$C$16*12)/(3*29000*$I$20)+$O$4/12000*($C$16*12)*(4*($C$16*12)^2*($C$13*12)-($C$13*12)^3+3*($C$16*12)^3)/(24*29000*$I$20),IF(AND($C$24=4,$C$25&gt;=$C$16),($O$96/2)*($C$16*12)^2*($C$13*12+$C$16*12)/(3*29000*$I$20)+$O$4/12000*($C$16*12)*(4*($C$16*12)^2*($C$13*12)-($C$13*12)^3+3*($C$16*12)^3)/(24*29000*$I$20),IF($C$24=2,$O$96*($C$16*12)^2*($C$13*12+$C$16*12)/(3*29000*$I$20)+$O$4/12000*($C$16*12)*(4*($C$16*12)^2*($C$13*12)-($C$13*12)^3+3*($C$16*12)^3)/(24*29000*$I$20))))</f>
        <v>0.0715083646295664</v>
      </c>
      <c r="P97" s="77" t="s">
        <v>8</v>
      </c>
      <c r="Q97" s="145" t="s">
        <v>138</v>
      </c>
      <c r="R97" s="304" t="str">
        <f>IF(AND($C$24=4,$C$25&lt;$C$16),"Pv*Lo^2*(L+Lo)/(3*E*I)+w/12000*Lo*(4*Lo^2*L-L^3+3*Lo^3)/(24*E*I)",IF(AND($C$24=4,$C$25&gt;=$C$16),"(Pv/2)*Lo^2*(L+Lo)/(3*E*I)+w/12000*Lo*(4*Lo^2*L-L^3+3*Lo^3)/(24*E*I)",IF($C$24=2,"Pv*Lo^2*(L+Lo)/(3*E*I)+w/12000*Lo*(4*Lo^2*L-L^3+3*Lo^3)/(24*E*I)")))</f>
        <v>Pv*Lo^2*(L+Lo)/(3*E*I)+w/12000*Lo*(4*Lo^2*L-L^3+3*Lo^3)/(24*E*I)</v>
      </c>
      <c r="AH97" s="106"/>
      <c r="AI97" s="129"/>
      <c r="AJ97" s="129"/>
      <c r="AK97" s="129"/>
      <c r="AL97" s="129"/>
      <c r="AM97" s="129"/>
      <c r="AN97" s="129"/>
      <c r="AO97" s="129"/>
      <c r="AP97" s="129"/>
      <c r="AQ97" s="129"/>
      <c r="AR97" s="129"/>
      <c r="AS97" s="129"/>
      <c r="AT97" s="129"/>
      <c r="AU97" s="129"/>
      <c r="AV97" s="129"/>
      <c r="AW97" s="70"/>
    </row>
    <row r="98" spans="1:49" ht="12.75">
      <c r="A98" s="146" t="s">
        <v>141</v>
      </c>
      <c r="B98" s="174" t="str">
        <f>$O$98</f>
        <v>L/503</v>
      </c>
      <c r="C98" s="104"/>
      <c r="D98" s="147" t="s">
        <v>176</v>
      </c>
      <c r="E98" s="44"/>
      <c r="F98" s="44"/>
      <c r="G98" s="44"/>
      <c r="H98" s="44"/>
      <c r="I98" s="44"/>
      <c r="J98" s="76"/>
      <c r="N98" s="144" t="s">
        <v>139</v>
      </c>
      <c r="O98" s="70" t="str">
        <f>IF($C$16&gt;0,"L/"&amp;ROUND($C$16*12/ABS($O$97),0),"N.A.")</f>
        <v>L/503</v>
      </c>
      <c r="Q98" s="145" t="s">
        <v>173</v>
      </c>
      <c r="AH98" s="106"/>
      <c r="AI98" s="129"/>
      <c r="AJ98" s="129"/>
      <c r="AK98" s="129"/>
      <c r="AL98" s="129"/>
      <c r="AM98" s="129"/>
      <c r="AN98" s="129"/>
      <c r="AO98" s="129"/>
      <c r="AP98" s="129"/>
      <c r="AQ98" s="129"/>
      <c r="AR98" s="129"/>
      <c r="AS98" s="129"/>
      <c r="AT98" s="129"/>
      <c r="AU98" s="129"/>
      <c r="AV98" s="129"/>
      <c r="AW98" s="70"/>
    </row>
    <row r="99" spans="1:54" ht="12.75">
      <c r="A99" s="146" t="s">
        <v>215</v>
      </c>
      <c r="B99" s="190">
        <f>$O$99</f>
        <v>0.08</v>
      </c>
      <c r="C99" s="104" t="s">
        <v>8</v>
      </c>
      <c r="D99" s="147" t="s">
        <v>218</v>
      </c>
      <c r="E99" s="44"/>
      <c r="F99" s="44"/>
      <c r="G99" s="44"/>
      <c r="H99" s="44"/>
      <c r="I99" s="44"/>
      <c r="J99" s="206" t="str">
        <f>IF($C$16&gt;0,IF($B$97&lt;=$B$99,"Defl.(max) &lt;= Defl.(allow),  O.K.  ","Defl.(max) &gt; Defl.(allow)  "),"")</f>
        <v>Defl.(max) &lt;= Defl.(allow),  O.K.  </v>
      </c>
      <c r="N99" s="144" t="s">
        <v>210</v>
      </c>
      <c r="O99" s="142">
        <f>IF($C$16&gt;0,$C$16*12/450,"N.A.")</f>
        <v>0.08</v>
      </c>
      <c r="P99" s="77" t="s">
        <v>8</v>
      </c>
      <c r="Q99" s="145" t="s">
        <v>217</v>
      </c>
      <c r="AH99" s="106"/>
      <c r="AI99" s="129"/>
      <c r="AJ99" s="129"/>
      <c r="AK99" s="129"/>
      <c r="AL99" s="129"/>
      <c r="AM99" s="129"/>
      <c r="AN99" s="129"/>
      <c r="AO99" s="129"/>
      <c r="AP99" s="129"/>
      <c r="AQ99" s="129"/>
      <c r="AR99" s="129"/>
      <c r="AS99" s="129"/>
      <c r="AT99" s="129"/>
      <c r="AU99" s="129"/>
      <c r="AV99" s="129"/>
      <c r="AW99" s="70"/>
      <c r="BA99" s="204" t="s">
        <v>225</v>
      </c>
      <c r="BB99" s="205">
        <f>IF($C$16&gt;0,$B$97/$B$99,"")</f>
        <v>0.89385455786958</v>
      </c>
    </row>
    <row r="100" spans="1:49" ht="12.75">
      <c r="A100" s="83"/>
      <c r="B100" s="44"/>
      <c r="C100" s="44"/>
      <c r="D100" s="157"/>
      <c r="E100" s="157"/>
      <c r="F100" s="44"/>
      <c r="G100" s="44"/>
      <c r="H100" s="44"/>
      <c r="I100" s="44"/>
      <c r="J100" s="76"/>
      <c r="Q100" s="111" t="s">
        <v>221</v>
      </c>
      <c r="R100" s="111"/>
      <c r="AH100" s="106"/>
      <c r="AI100" s="129"/>
      <c r="AJ100" s="129"/>
      <c r="AK100" s="129"/>
      <c r="AL100" s="129"/>
      <c r="AM100" s="129"/>
      <c r="AN100" s="129"/>
      <c r="AO100" s="129"/>
      <c r="AP100" s="129"/>
      <c r="AQ100" s="129"/>
      <c r="AR100" s="129"/>
      <c r="AS100" s="129"/>
      <c r="AT100" s="129"/>
      <c r="AU100" s="129"/>
      <c r="AV100" s="129"/>
      <c r="AW100" s="70"/>
    </row>
    <row r="101" spans="1:49" ht="12.75">
      <c r="A101" s="175" t="s">
        <v>935</v>
      </c>
      <c r="B101" s="165"/>
      <c r="C101" s="120"/>
      <c r="D101" s="120"/>
      <c r="E101" s="157"/>
      <c r="F101" s="44"/>
      <c r="G101" s="44"/>
      <c r="H101" s="44"/>
      <c r="I101" s="44"/>
      <c r="J101" s="76"/>
      <c r="N101" s="171" t="s">
        <v>935</v>
      </c>
      <c r="O101" s="72"/>
      <c r="P101" s="169"/>
      <c r="Q101" s="170"/>
      <c r="AH101" s="106"/>
      <c r="AI101" s="129"/>
      <c r="AJ101" s="129"/>
      <c r="AK101" s="129"/>
      <c r="AL101" s="129"/>
      <c r="AM101" s="129"/>
      <c r="AN101" s="129"/>
      <c r="AO101" s="129"/>
      <c r="AP101" s="129"/>
      <c r="AQ101" s="129"/>
      <c r="AR101" s="129"/>
      <c r="AS101" s="129"/>
      <c r="AT101" s="129"/>
      <c r="AU101" s="129"/>
      <c r="AV101" s="129"/>
      <c r="AW101" s="70"/>
    </row>
    <row r="102" spans="1:49" ht="12.75">
      <c r="A102" s="159" t="s">
        <v>197</v>
      </c>
      <c r="B102" s="26">
        <f>$O$102</f>
        <v>7.908</v>
      </c>
      <c r="C102" s="173" t="s">
        <v>8</v>
      </c>
      <c r="D102" s="141" t="str">
        <f>$Q$102</f>
        <v>Min. of: be = 12*tf  or  S*12 (effective flange bending length)</v>
      </c>
      <c r="E102" s="157"/>
      <c r="F102" s="44"/>
      <c r="G102" s="44"/>
      <c r="H102" s="44"/>
      <c r="I102" s="44"/>
      <c r="J102" s="76"/>
      <c r="N102" s="115" t="s">
        <v>197</v>
      </c>
      <c r="O102" s="1">
        <f>IF($C$24=2,12*$F$23,IF($C$24=4,MIN(12*$F$23,$C$25*12)))</f>
        <v>7.908</v>
      </c>
      <c r="P102" s="78" t="s">
        <v>8</v>
      </c>
      <c r="Q102" s="123" t="str">
        <f>IF($C$24=2,"be = 12*tf",IF($C$24=4,"Min. of: be = 12*tf  or  S*12"))&amp;" (effective flange bending length)"</f>
        <v>Min. of: be = 12*tf  or  S*12 (effective flange bending length)</v>
      </c>
      <c r="R102" s="78"/>
      <c r="S102" s="78"/>
      <c r="T102" s="78"/>
      <c r="AH102" s="106"/>
      <c r="AI102" s="129"/>
      <c r="AJ102" s="129"/>
      <c r="AK102" s="129"/>
      <c r="AL102" s="129"/>
      <c r="AM102" s="129"/>
      <c r="AN102" s="129"/>
      <c r="AO102" s="129"/>
      <c r="AP102" s="129"/>
      <c r="AQ102" s="129"/>
      <c r="AR102" s="129"/>
      <c r="AS102" s="129"/>
      <c r="AT102" s="129"/>
      <c r="AU102" s="129"/>
      <c r="AV102" s="129"/>
      <c r="AW102" s="70"/>
    </row>
    <row r="103" spans="1:49" ht="12.75">
      <c r="A103" s="159" t="s">
        <v>240</v>
      </c>
      <c r="B103" s="27">
        <f>$O$103</f>
        <v>0.8587083333333334</v>
      </c>
      <c r="C103" s="173" t="s">
        <v>8</v>
      </c>
      <c r="D103" s="141" t="str">
        <f>$Q$103</f>
        <v>tf2 = tf+(bf/2-tw/2)/2*(1/6)  (flange thk. at web based on 1:6 slope of flange)</v>
      </c>
      <c r="E103" s="157"/>
      <c r="F103" s="44"/>
      <c r="G103" s="44"/>
      <c r="H103" s="44"/>
      <c r="I103" s="44"/>
      <c r="J103" s="76"/>
      <c r="N103" s="115" t="s">
        <v>240</v>
      </c>
      <c r="O103" s="1">
        <f>$F$23+($F$22/2-$F$21/2)/2*(1/6)</f>
        <v>0.8587083333333334</v>
      </c>
      <c r="P103" s="78" t="s">
        <v>8</v>
      </c>
      <c r="Q103" s="123" t="s">
        <v>242</v>
      </c>
      <c r="R103" s="78"/>
      <c r="S103" s="78"/>
      <c r="T103" s="78"/>
      <c r="AH103" s="106"/>
      <c r="AI103" s="129"/>
      <c r="AJ103" s="129"/>
      <c r="AK103" s="129"/>
      <c r="AL103" s="129"/>
      <c r="AM103" s="129"/>
      <c r="AN103" s="129"/>
      <c r="AO103" s="129"/>
      <c r="AP103" s="129"/>
      <c r="AQ103" s="129"/>
      <c r="AR103" s="129"/>
      <c r="AS103" s="129"/>
      <c r="AT103" s="129"/>
      <c r="AU103" s="129"/>
      <c r="AV103" s="129"/>
      <c r="AW103" s="70"/>
    </row>
    <row r="104" spans="1:49" ht="12.75">
      <c r="A104" s="159" t="s">
        <v>200</v>
      </c>
      <c r="B104" s="27">
        <f>$O$104</f>
        <v>1.8177083333333335</v>
      </c>
      <c r="C104" s="173" t="s">
        <v>8</v>
      </c>
      <c r="D104" s="141" t="str">
        <f>$Q$104</f>
        <v>am = (bf/2-tw/2)-(k-tf2)  (where: k-tf2 = radius of fillet)</v>
      </c>
      <c r="E104" s="157"/>
      <c r="F104" s="44"/>
      <c r="G104" s="44"/>
      <c r="H104" s="44"/>
      <c r="I104" s="44"/>
      <c r="J104" s="76"/>
      <c r="N104" s="115" t="s">
        <v>200</v>
      </c>
      <c r="O104" s="1">
        <f>($F$22/2-$F$21/2)-($F$24-$O$103)</f>
        <v>1.8177083333333335</v>
      </c>
      <c r="P104" s="78" t="s">
        <v>8</v>
      </c>
      <c r="Q104" s="123" t="s">
        <v>241</v>
      </c>
      <c r="R104" s="78"/>
      <c r="S104" s="78"/>
      <c r="T104" s="78"/>
      <c r="AH104" s="106"/>
      <c r="AI104" s="129"/>
      <c r="AJ104" s="129"/>
      <c r="AK104" s="129"/>
      <c r="AL104" s="129"/>
      <c r="AM104" s="129"/>
      <c r="AN104" s="129"/>
      <c r="AO104" s="129"/>
      <c r="AP104" s="129"/>
      <c r="AQ104" s="129"/>
      <c r="AR104" s="129"/>
      <c r="AS104" s="129"/>
      <c r="AT104" s="129"/>
      <c r="AU104" s="129"/>
      <c r="AV104" s="129"/>
      <c r="AW104" s="70"/>
    </row>
    <row r="105" spans="1:49" ht="12.75">
      <c r="A105" s="159" t="s">
        <v>202</v>
      </c>
      <c r="B105" s="27">
        <f>$O$105</f>
        <v>2.6690104166666666</v>
      </c>
      <c r="C105" s="191" t="s">
        <v>186</v>
      </c>
      <c r="D105" s="141" t="str">
        <f>$Q$105</f>
        <v>Mf = Pw*(am-a)</v>
      </c>
      <c r="E105" s="157"/>
      <c r="F105" s="44"/>
      <c r="G105" s="44"/>
      <c r="H105" s="44"/>
      <c r="I105" s="44"/>
      <c r="J105" s="76"/>
      <c r="N105" s="115" t="s">
        <v>202</v>
      </c>
      <c r="O105" s="1">
        <f>$B$32*($O$104-$C$26)</f>
        <v>2.6690104166666666</v>
      </c>
      <c r="P105" s="123" t="s">
        <v>186</v>
      </c>
      <c r="Q105" s="123" t="s">
        <v>977</v>
      </c>
      <c r="R105" s="78"/>
      <c r="S105" s="78"/>
      <c r="T105" s="78"/>
      <c r="AH105" s="106"/>
      <c r="AI105" s="129"/>
      <c r="AJ105" s="129"/>
      <c r="AK105" s="129"/>
      <c r="AL105" s="129"/>
      <c r="AM105" s="129"/>
      <c r="AN105" s="129"/>
      <c r="AO105" s="129"/>
      <c r="AP105" s="129"/>
      <c r="AQ105" s="129"/>
      <c r="AR105" s="129"/>
      <c r="AS105" s="129"/>
      <c r="AT105" s="129"/>
      <c r="AU105" s="129"/>
      <c r="AV105" s="129"/>
      <c r="AW105" s="70"/>
    </row>
    <row r="106" spans="1:49" ht="12.75">
      <c r="A106" s="159" t="s">
        <v>201</v>
      </c>
      <c r="B106" s="27">
        <f>$O$106</f>
        <v>0.572382358</v>
      </c>
      <c r="C106" s="191" t="s">
        <v>16</v>
      </c>
      <c r="D106" s="141" t="str">
        <f>$Q$106</f>
        <v>Sf = be*tf^2/6</v>
      </c>
      <c r="E106" s="157"/>
      <c r="F106" s="44"/>
      <c r="G106" s="44"/>
      <c r="H106" s="44"/>
      <c r="I106" s="44"/>
      <c r="J106" s="76"/>
      <c r="N106" s="115" t="s">
        <v>201</v>
      </c>
      <c r="O106" s="1">
        <f>$O$102*$F$23^2/6</f>
        <v>0.572382358</v>
      </c>
      <c r="P106" s="123" t="s">
        <v>16</v>
      </c>
      <c r="Q106" s="123" t="s">
        <v>203</v>
      </c>
      <c r="R106" s="78"/>
      <c r="S106" s="78"/>
      <c r="T106" s="78"/>
      <c r="AH106" s="106"/>
      <c r="AI106" s="129"/>
      <c r="AJ106" s="129"/>
      <c r="AK106" s="129"/>
      <c r="AL106" s="129"/>
      <c r="AM106" s="129"/>
      <c r="AN106" s="129"/>
      <c r="AO106" s="129"/>
      <c r="AP106" s="129"/>
      <c r="AQ106" s="129"/>
      <c r="AR106" s="129"/>
      <c r="AS106" s="129"/>
      <c r="AT106" s="129"/>
      <c r="AU106" s="129"/>
      <c r="AV106" s="129"/>
      <c r="AW106" s="70"/>
    </row>
    <row r="107" spans="1:49" ht="12.75">
      <c r="A107" s="159" t="s">
        <v>205</v>
      </c>
      <c r="B107" s="17">
        <f>$O$107</f>
        <v>4.662985117138545</v>
      </c>
      <c r="C107" s="191" t="s">
        <v>9</v>
      </c>
      <c r="D107" s="141" t="str">
        <f>$Q$107</f>
        <v>fb = Mf/Sf</v>
      </c>
      <c r="E107" s="157"/>
      <c r="F107" s="44"/>
      <c r="G107" s="44"/>
      <c r="H107" s="50"/>
      <c r="I107" s="44"/>
      <c r="J107" s="76"/>
      <c r="N107" s="115" t="s">
        <v>205</v>
      </c>
      <c r="O107" s="75">
        <f>$O$105/$O$106</f>
        <v>4.662985117138545</v>
      </c>
      <c r="P107" s="123" t="s">
        <v>9</v>
      </c>
      <c r="Q107" s="123" t="s">
        <v>207</v>
      </c>
      <c r="R107" s="78"/>
      <c r="S107" s="78"/>
      <c r="T107" s="78"/>
      <c r="AH107" s="106"/>
      <c r="AI107" s="129"/>
      <c r="AJ107" s="129"/>
      <c r="AK107" s="129"/>
      <c r="AL107" s="129"/>
      <c r="AM107" s="129"/>
      <c r="AN107" s="129"/>
      <c r="AO107" s="129"/>
      <c r="AP107" s="129"/>
      <c r="AQ107" s="129"/>
      <c r="AR107" s="129"/>
      <c r="AS107" s="129"/>
      <c r="AT107" s="129"/>
      <c r="AU107" s="129"/>
      <c r="AV107" s="129"/>
      <c r="AW107" s="70"/>
    </row>
    <row r="108" spans="1:54" ht="12.75">
      <c r="A108" s="159" t="s">
        <v>204</v>
      </c>
      <c r="B108" s="16">
        <f>$O$108</f>
        <v>27</v>
      </c>
      <c r="C108" s="191" t="s">
        <v>9</v>
      </c>
      <c r="D108" s="141" t="str">
        <f>$Q$108</f>
        <v>Fb = 0.75*Fy</v>
      </c>
      <c r="E108" s="157"/>
      <c r="F108" s="44"/>
      <c r="G108" s="44"/>
      <c r="H108" s="44"/>
      <c r="I108" s="44"/>
      <c r="J108" s="206" t="str">
        <f>IF($B$107&lt;=$B$108,"fb &lt;= Fb,  O.K.  ","fb &gt; Fb  ")</f>
        <v>fb &lt;= Fb,  O.K.  </v>
      </c>
      <c r="N108" s="115" t="s">
        <v>204</v>
      </c>
      <c r="O108" s="75">
        <f>0.75*$C$12</f>
        <v>27</v>
      </c>
      <c r="P108" s="123" t="s">
        <v>9</v>
      </c>
      <c r="Q108" s="123" t="s">
        <v>206</v>
      </c>
      <c r="R108" s="78"/>
      <c r="S108" s="78"/>
      <c r="T108" s="78"/>
      <c r="AH108" s="106"/>
      <c r="AI108" s="129"/>
      <c r="AJ108" s="129"/>
      <c r="AK108" s="129"/>
      <c r="AL108" s="129"/>
      <c r="AM108" s="129"/>
      <c r="AN108" s="129"/>
      <c r="AO108" s="129"/>
      <c r="AP108" s="129"/>
      <c r="AQ108" s="129"/>
      <c r="AR108" s="129"/>
      <c r="AS108" s="129"/>
      <c r="AT108" s="129"/>
      <c r="AU108" s="129"/>
      <c r="AV108" s="129"/>
      <c r="AW108" s="70"/>
      <c r="BA108" s="204" t="s">
        <v>225</v>
      </c>
      <c r="BB108" s="205">
        <f>$B$107/$B$108</f>
        <v>0.17270315248661278</v>
      </c>
    </row>
    <row r="109" spans="1:49" ht="12.75">
      <c r="A109" s="83"/>
      <c r="B109" s="44"/>
      <c r="C109" s="44"/>
      <c r="D109" s="44"/>
      <c r="E109" s="44"/>
      <c r="F109" s="44"/>
      <c r="G109" s="44"/>
      <c r="H109" s="44"/>
      <c r="I109" s="44"/>
      <c r="J109" s="76"/>
      <c r="N109" s="171" t="s">
        <v>934</v>
      </c>
      <c r="O109" s="72"/>
      <c r="P109" s="123"/>
      <c r="Q109" s="123"/>
      <c r="R109" s="78"/>
      <c r="S109" s="78"/>
      <c r="T109" s="111" t="s">
        <v>247</v>
      </c>
      <c r="AH109" s="106"/>
      <c r="AI109" s="129"/>
      <c r="AJ109" s="129"/>
      <c r="AK109" s="129"/>
      <c r="AL109" s="129"/>
      <c r="AM109" s="129"/>
      <c r="AN109" s="129"/>
      <c r="AO109" s="129"/>
      <c r="AP109" s="129"/>
      <c r="AQ109" s="129"/>
      <c r="AR109" s="129"/>
      <c r="AS109" s="129"/>
      <c r="AT109" s="129"/>
      <c r="AU109" s="129"/>
      <c r="AV109" s="129"/>
      <c r="AW109" s="70"/>
    </row>
    <row r="110" spans="1:49" ht="12.75">
      <c r="A110" s="215"/>
      <c r="B110" s="216"/>
      <c r="C110" s="216"/>
      <c r="D110" s="216"/>
      <c r="E110" s="216"/>
      <c r="F110" s="216"/>
      <c r="G110" s="216"/>
      <c r="H110" s="216"/>
      <c r="I110" s="216"/>
      <c r="J110" s="102" t="s">
        <v>85</v>
      </c>
      <c r="N110" s="155" t="s">
        <v>86</v>
      </c>
      <c r="O110" s="111"/>
      <c r="P110" s="71"/>
      <c r="Q110" s="136"/>
      <c r="R110" s="137"/>
      <c r="T110" s="229" t="s">
        <v>285</v>
      </c>
      <c r="AH110" s="106"/>
      <c r="AI110" s="129"/>
      <c r="AJ110" s="129"/>
      <c r="AK110" s="129"/>
      <c r="AL110" s="129"/>
      <c r="AM110" s="129"/>
      <c r="AN110" s="129"/>
      <c r="AO110" s="129"/>
      <c r="AP110" s="129"/>
      <c r="AQ110" s="129"/>
      <c r="AR110" s="129"/>
      <c r="AS110" s="129"/>
      <c r="AT110" s="129"/>
      <c r="AU110" s="129"/>
      <c r="AV110" s="129"/>
      <c r="AW110" s="70"/>
    </row>
    <row r="111" spans="1:49" ht="12.75">
      <c r="A111" s="99"/>
      <c r="B111" s="100"/>
      <c r="C111" s="100"/>
      <c r="D111" s="100"/>
      <c r="E111" s="100"/>
      <c r="F111" s="100"/>
      <c r="G111" s="100"/>
      <c r="H111" s="100"/>
      <c r="I111" s="100"/>
      <c r="J111" s="101"/>
      <c r="N111" s="138" t="s">
        <v>143</v>
      </c>
      <c r="O111" s="74">
        <f>$O$10*$O$6/O8^2</f>
        <v>-6.462253088405102</v>
      </c>
      <c r="P111" s="155" t="s">
        <v>9</v>
      </c>
      <c r="Q111" s="139" t="s">
        <v>249</v>
      </c>
      <c r="R111" s="111"/>
      <c r="AH111" s="106"/>
      <c r="AI111" s="129"/>
      <c r="AJ111" s="129"/>
      <c r="AK111" s="129"/>
      <c r="AL111" s="129"/>
      <c r="AM111" s="129"/>
      <c r="AN111" s="129"/>
      <c r="AO111" s="129"/>
      <c r="AP111" s="129"/>
      <c r="AQ111" s="129"/>
      <c r="AR111" s="129"/>
      <c r="AS111" s="129"/>
      <c r="AT111" s="129"/>
      <c r="AU111" s="129"/>
      <c r="AV111" s="129"/>
      <c r="AW111" s="70"/>
    </row>
    <row r="112" spans="1:49" ht="12.75">
      <c r="A112" s="176" t="s">
        <v>934</v>
      </c>
      <c r="B112" s="44"/>
      <c r="C112" s="44"/>
      <c r="D112" s="44"/>
      <c r="E112" s="44"/>
      <c r="F112" s="44"/>
      <c r="G112" s="210" t="s">
        <v>247</v>
      </c>
      <c r="H112" s="44"/>
      <c r="I112" s="44"/>
      <c r="J112" s="76"/>
      <c r="N112" s="138" t="s">
        <v>248</v>
      </c>
      <c r="O112" s="74">
        <f>$O$12*$O$6/$O$8^2</f>
        <v>1.254782807789482</v>
      </c>
      <c r="P112" s="155" t="s">
        <v>9</v>
      </c>
      <c r="Q112" s="139" t="s">
        <v>250</v>
      </c>
      <c r="R112" s="111"/>
      <c r="AH112" s="106"/>
      <c r="AI112" s="129"/>
      <c r="AJ112" s="129"/>
      <c r="AK112" s="129"/>
      <c r="AL112" s="130"/>
      <c r="AM112" s="129"/>
      <c r="AN112" s="129"/>
      <c r="AO112" s="129"/>
      <c r="AP112" s="129"/>
      <c r="AQ112" s="129"/>
      <c r="AR112" s="129"/>
      <c r="AS112" s="129"/>
      <c r="AT112" s="129"/>
      <c r="AU112" s="129"/>
      <c r="AV112" s="129"/>
      <c r="AW112" s="70"/>
    </row>
    <row r="113" spans="1:49" ht="12.75">
      <c r="A113" s="83"/>
      <c r="B113" s="44"/>
      <c r="C113" s="44"/>
      <c r="D113" s="44"/>
      <c r="E113" s="44"/>
      <c r="F113" s="44"/>
      <c r="G113" s="44"/>
      <c r="H113" s="44"/>
      <c r="I113" s="44"/>
      <c r="J113" s="76"/>
      <c r="N113" s="155" t="s">
        <v>87</v>
      </c>
      <c r="O113" s="111"/>
      <c r="P113" s="71"/>
      <c r="Q113" s="136"/>
      <c r="R113" s="137"/>
      <c r="AH113" s="106"/>
      <c r="AI113" s="129"/>
      <c r="AJ113" s="129"/>
      <c r="AK113" s="129"/>
      <c r="AL113" s="129"/>
      <c r="AM113" s="129"/>
      <c r="AN113" s="129"/>
      <c r="AO113" s="129"/>
      <c r="AP113" s="129"/>
      <c r="AQ113" s="129"/>
      <c r="AR113" s="129"/>
      <c r="AS113" s="129"/>
      <c r="AT113" s="129"/>
      <c r="AU113" s="129"/>
      <c r="AV113" s="129"/>
      <c r="AW113" s="70"/>
    </row>
    <row r="114" spans="1:49" ht="12.75">
      <c r="A114" s="90" t="s">
        <v>86</v>
      </c>
      <c r="B114" s="44"/>
      <c r="C114" s="50"/>
      <c r="D114" s="47"/>
      <c r="E114" s="46"/>
      <c r="F114" s="44"/>
      <c r="G114" s="44"/>
      <c r="H114" s="44"/>
      <c r="I114" s="44"/>
      <c r="J114" s="228" t="s">
        <v>285</v>
      </c>
      <c r="N114" s="138" t="s">
        <v>144</v>
      </c>
      <c r="O114" s="74">
        <f>$O$11*$O$6/$O$8^2</f>
        <v>4.560342775627449</v>
      </c>
      <c r="P114" s="155" t="s">
        <v>9</v>
      </c>
      <c r="Q114" s="139" t="s">
        <v>251</v>
      </c>
      <c r="R114" s="111"/>
      <c r="AH114" s="106"/>
      <c r="AI114" s="129"/>
      <c r="AJ114" s="129"/>
      <c r="AK114" s="129"/>
      <c r="AL114" s="129"/>
      <c r="AM114" s="129"/>
      <c r="AN114" s="129"/>
      <c r="AO114" s="129"/>
      <c r="AP114" s="129"/>
      <c r="AQ114" s="129"/>
      <c r="AR114" s="129"/>
      <c r="AS114" s="129"/>
      <c r="AT114" s="129"/>
      <c r="AU114" s="129"/>
      <c r="AV114" s="129"/>
      <c r="AW114" s="70"/>
    </row>
    <row r="115" spans="1:49" ht="12.75">
      <c r="A115" s="146" t="s">
        <v>261</v>
      </c>
      <c r="B115" s="15">
        <f>$O$111</f>
        <v>-6.462253088405102</v>
      </c>
      <c r="C115" s="96" t="s">
        <v>9</v>
      </c>
      <c r="D115" s="147" t="s">
        <v>273</v>
      </c>
      <c r="E115" s="157"/>
      <c r="F115" s="44"/>
      <c r="G115" s="44"/>
      <c r="H115" s="44"/>
      <c r="I115" s="44"/>
      <c r="J115" s="76"/>
      <c r="N115" s="138" t="s">
        <v>252</v>
      </c>
      <c r="O115" s="74">
        <f>$O$13*$O$6/$O$8^2</f>
        <v>14.815624896214295</v>
      </c>
      <c r="P115" s="155" t="s">
        <v>9</v>
      </c>
      <c r="Q115" s="139" t="s">
        <v>253</v>
      </c>
      <c r="R115" s="111"/>
      <c r="U115" s="78"/>
      <c r="AH115" s="106"/>
      <c r="AI115" s="129"/>
      <c r="AJ115" s="129"/>
      <c r="AK115" s="129"/>
      <c r="AL115" s="129"/>
      <c r="AM115" s="129"/>
      <c r="AN115" s="129"/>
      <c r="AO115" s="129"/>
      <c r="AP115" s="129"/>
      <c r="AQ115" s="129"/>
      <c r="AR115" s="129"/>
      <c r="AS115" s="129"/>
      <c r="AT115" s="129"/>
      <c r="AU115" s="129"/>
      <c r="AV115" s="129"/>
      <c r="AW115" s="70"/>
    </row>
    <row r="116" spans="1:49" ht="12.75">
      <c r="A116" s="146" t="s">
        <v>262</v>
      </c>
      <c r="B116" s="16">
        <f>$O$112</f>
        <v>1.254782807789482</v>
      </c>
      <c r="C116" s="96" t="s">
        <v>9</v>
      </c>
      <c r="D116" s="147" t="s">
        <v>274</v>
      </c>
      <c r="E116" s="157"/>
      <c r="F116" s="44"/>
      <c r="G116" s="44"/>
      <c r="H116" s="44"/>
      <c r="I116" s="44"/>
      <c r="J116" s="76"/>
      <c r="N116" s="155" t="s">
        <v>88</v>
      </c>
      <c r="O116" s="111"/>
      <c r="P116" s="71"/>
      <c r="Q116" s="136"/>
      <c r="R116" s="137"/>
      <c r="U116" s="78"/>
      <c r="AH116" s="106"/>
      <c r="AI116" s="129"/>
      <c r="AJ116" s="129"/>
      <c r="AK116" s="129"/>
      <c r="AL116" s="129"/>
      <c r="AM116" s="129"/>
      <c r="AN116" s="129"/>
      <c r="AO116" s="129"/>
      <c r="AP116" s="129"/>
      <c r="AQ116" s="129"/>
      <c r="AR116" s="129"/>
      <c r="AS116" s="129"/>
      <c r="AT116" s="129"/>
      <c r="AU116" s="129"/>
      <c r="AV116" s="129"/>
      <c r="AW116" s="70"/>
    </row>
    <row r="117" spans="1:49" ht="12.75">
      <c r="A117" s="175" t="s">
        <v>87</v>
      </c>
      <c r="B117" s="44"/>
      <c r="C117" s="50"/>
      <c r="D117" s="118"/>
      <c r="E117" s="226"/>
      <c r="F117" s="44"/>
      <c r="G117" s="44"/>
      <c r="H117" s="44"/>
      <c r="I117" s="44"/>
      <c r="J117" s="76"/>
      <c r="N117" s="138" t="s">
        <v>145</v>
      </c>
      <c r="O117" s="74">
        <f>-$O$111</f>
        <v>6.462253088405102</v>
      </c>
      <c r="P117" s="155" t="s">
        <v>9</v>
      </c>
      <c r="Q117" s="139" t="s">
        <v>146</v>
      </c>
      <c r="R117" s="111"/>
      <c r="V117" s="78"/>
      <c r="AH117" s="106"/>
      <c r="AI117" s="129"/>
      <c r="AJ117" s="129"/>
      <c r="AK117" s="129"/>
      <c r="AL117" s="129"/>
      <c r="AM117" s="129"/>
      <c r="AN117" s="129"/>
      <c r="AO117" s="129"/>
      <c r="AP117" s="129"/>
      <c r="AQ117" s="129"/>
      <c r="AR117" s="129"/>
      <c r="AS117" s="129"/>
      <c r="AT117" s="129"/>
      <c r="AU117" s="129"/>
      <c r="AV117" s="129"/>
      <c r="AW117" s="70"/>
    </row>
    <row r="118" spans="1:49" ht="12.75">
      <c r="A118" s="146" t="s">
        <v>263</v>
      </c>
      <c r="B118" s="15">
        <f>$O$114</f>
        <v>4.560342775627449</v>
      </c>
      <c r="C118" s="96" t="s">
        <v>9</v>
      </c>
      <c r="D118" s="147" t="s">
        <v>275</v>
      </c>
      <c r="E118" s="157"/>
      <c r="F118" s="44"/>
      <c r="G118" s="44"/>
      <c r="H118" s="44"/>
      <c r="I118" s="44"/>
      <c r="J118" s="76"/>
      <c r="N118" s="138" t="s">
        <v>254</v>
      </c>
      <c r="O118" s="74">
        <f>-$O$112</f>
        <v>-1.254782807789482</v>
      </c>
      <c r="P118" s="155" t="s">
        <v>9</v>
      </c>
      <c r="Q118" s="139" t="s">
        <v>255</v>
      </c>
      <c r="R118" s="111"/>
      <c r="AH118" s="106"/>
      <c r="AI118" s="129"/>
      <c r="AJ118" s="129"/>
      <c r="AK118" s="129"/>
      <c r="AL118" s="129"/>
      <c r="AM118" s="129"/>
      <c r="AN118" s="129"/>
      <c r="AO118" s="129"/>
      <c r="AP118" s="129"/>
      <c r="AQ118" s="129"/>
      <c r="AR118" s="129"/>
      <c r="AS118" s="129"/>
      <c r="AT118" s="129"/>
      <c r="AU118" s="129"/>
      <c r="AV118" s="129"/>
      <c r="AW118" s="70"/>
    </row>
    <row r="119" spans="1:49" ht="12.75">
      <c r="A119" s="146" t="s">
        <v>264</v>
      </c>
      <c r="B119" s="16">
        <f>$O$115</f>
        <v>14.815624896214295</v>
      </c>
      <c r="C119" s="96" t="s">
        <v>9</v>
      </c>
      <c r="D119" s="147" t="s">
        <v>276</v>
      </c>
      <c r="E119" s="157"/>
      <c r="F119" s="44"/>
      <c r="G119" s="44"/>
      <c r="H119" s="44"/>
      <c r="I119" s="44"/>
      <c r="J119" s="76"/>
      <c r="N119" s="155" t="s">
        <v>938</v>
      </c>
      <c r="O119" s="111"/>
      <c r="P119" s="71"/>
      <c r="Q119" s="136"/>
      <c r="R119" s="137"/>
      <c r="AH119" s="106"/>
      <c r="AI119" s="129"/>
      <c r="AJ119" s="129"/>
      <c r="AK119" s="129"/>
      <c r="AL119" s="129"/>
      <c r="AM119" s="129"/>
      <c r="AN119" s="129"/>
      <c r="AO119" s="129"/>
      <c r="AP119" s="129"/>
      <c r="AQ119" s="129"/>
      <c r="AR119" s="129"/>
      <c r="AS119" s="129"/>
      <c r="AT119" s="129"/>
      <c r="AU119" s="129"/>
      <c r="AV119" s="129"/>
      <c r="AW119" s="70"/>
    </row>
    <row r="120" spans="1:49" ht="12.75">
      <c r="A120" s="175" t="s">
        <v>88</v>
      </c>
      <c r="B120" s="44"/>
      <c r="C120" s="50"/>
      <c r="D120" s="118"/>
      <c r="E120" s="44"/>
      <c r="F120" s="44"/>
      <c r="G120" s="44"/>
      <c r="H120" s="44"/>
      <c r="I120" s="44"/>
      <c r="J120" s="76"/>
      <c r="M120" s="75"/>
      <c r="N120" s="136" t="s">
        <v>963</v>
      </c>
      <c r="O120" s="75">
        <f>$O$34</f>
        <v>7.561227131045105</v>
      </c>
      <c r="P120" s="155" t="s">
        <v>9</v>
      </c>
      <c r="Q120" s="111" t="s">
        <v>971</v>
      </c>
      <c r="U120" s="75"/>
      <c r="AH120" s="106"/>
      <c r="AI120" s="129"/>
      <c r="AJ120" s="129"/>
      <c r="AK120" s="129"/>
      <c r="AL120" s="129"/>
      <c r="AM120" s="129"/>
      <c r="AN120" s="129"/>
      <c r="AO120" s="129"/>
      <c r="AP120" s="129"/>
      <c r="AQ120" s="129"/>
      <c r="AR120" s="129"/>
      <c r="AS120" s="129"/>
      <c r="AT120" s="129"/>
      <c r="AU120" s="129"/>
      <c r="AV120" s="129"/>
      <c r="AW120" s="70"/>
    </row>
    <row r="121" spans="1:49" ht="12.75">
      <c r="A121" s="146" t="s">
        <v>265</v>
      </c>
      <c r="B121" s="15">
        <f>$O$117</f>
        <v>6.462253088405102</v>
      </c>
      <c r="C121" s="96" t="s">
        <v>9</v>
      </c>
      <c r="D121" s="147" t="s">
        <v>277</v>
      </c>
      <c r="E121" s="157"/>
      <c r="F121" s="44"/>
      <c r="G121" s="44"/>
      <c r="H121" s="44"/>
      <c r="I121" s="44"/>
      <c r="J121" s="76"/>
      <c r="M121" s="75"/>
      <c r="N121" s="136" t="s">
        <v>959</v>
      </c>
      <c r="O121" s="75">
        <f>$O$28*12*($F$21/2)/$I$22</f>
        <v>0.6443903598699097</v>
      </c>
      <c r="P121" s="155" t="s">
        <v>9</v>
      </c>
      <c r="Q121" s="111" t="s">
        <v>969</v>
      </c>
      <c r="U121" s="75"/>
      <c r="AH121" s="106"/>
      <c r="AI121" s="129"/>
      <c r="AJ121" s="129"/>
      <c r="AK121" s="129"/>
      <c r="AL121" s="129"/>
      <c r="AM121" s="129"/>
      <c r="AN121" s="129"/>
      <c r="AO121" s="129"/>
      <c r="AP121" s="129"/>
      <c r="AQ121" s="129"/>
      <c r="AR121" s="129"/>
      <c r="AS121" s="129"/>
      <c r="AT121" s="129"/>
      <c r="AU121" s="129"/>
      <c r="AV121" s="129"/>
      <c r="AW121" s="70"/>
    </row>
    <row r="122" spans="1:49" ht="12.75">
      <c r="A122" s="146" t="s">
        <v>266</v>
      </c>
      <c r="B122" s="16">
        <f>$O$118</f>
        <v>-1.254782807789482</v>
      </c>
      <c r="C122" s="96" t="s">
        <v>9</v>
      </c>
      <c r="D122" s="147" t="s">
        <v>278</v>
      </c>
      <c r="E122" s="226"/>
      <c r="F122" s="44"/>
      <c r="G122" s="44"/>
      <c r="H122" s="44"/>
      <c r="I122" s="44"/>
      <c r="J122" s="76"/>
      <c r="N122" s="138" t="s">
        <v>256</v>
      </c>
      <c r="O122" s="74">
        <f>$O$120+$O$121+0.75*$O$112</f>
        <v>9.146704596757127</v>
      </c>
      <c r="P122" s="155" t="s">
        <v>9</v>
      </c>
      <c r="Q122" s="139" t="s">
        <v>974</v>
      </c>
      <c r="R122" s="111"/>
      <c r="AH122" s="106"/>
      <c r="AI122" s="129"/>
      <c r="AJ122" s="129"/>
      <c r="AK122" s="129"/>
      <c r="AL122" s="129"/>
      <c r="AM122" s="129"/>
      <c r="AN122" s="129"/>
      <c r="AO122" s="129"/>
      <c r="AP122" s="129"/>
      <c r="AQ122" s="129"/>
      <c r="AR122" s="129"/>
      <c r="AS122" s="129"/>
      <c r="AT122" s="129"/>
      <c r="AU122" s="129"/>
      <c r="AV122" s="129"/>
      <c r="AW122" s="70"/>
    </row>
    <row r="123" spans="1:49" ht="12.75">
      <c r="A123" s="175" t="s">
        <v>938</v>
      </c>
      <c r="B123" s="44"/>
      <c r="C123" s="44"/>
      <c r="D123" s="44"/>
      <c r="E123" s="157"/>
      <c r="F123" s="44"/>
      <c r="G123" s="44"/>
      <c r="H123" s="44"/>
      <c r="I123" s="44"/>
      <c r="J123" s="76"/>
      <c r="N123" s="138" t="s">
        <v>147</v>
      </c>
      <c r="O123" s="74">
        <f>0.75*$O$111</f>
        <v>-4.846689816303827</v>
      </c>
      <c r="P123" s="155" t="s">
        <v>9</v>
      </c>
      <c r="Q123" s="139" t="s">
        <v>148</v>
      </c>
      <c r="R123" s="111"/>
      <c r="AH123" s="106"/>
      <c r="AI123" s="129"/>
      <c r="AJ123" s="129"/>
      <c r="AK123" s="129"/>
      <c r="AL123" s="129"/>
      <c r="AM123" s="129"/>
      <c r="AN123" s="129"/>
      <c r="AO123" s="129"/>
      <c r="AP123" s="129"/>
      <c r="AQ123" s="129"/>
      <c r="AR123" s="129"/>
      <c r="AS123" s="129"/>
      <c r="AT123" s="129"/>
      <c r="AU123" s="129"/>
      <c r="AV123" s="129"/>
      <c r="AW123" s="70"/>
    </row>
    <row r="124" spans="1:49" ht="12.75">
      <c r="A124" s="159" t="s">
        <v>963</v>
      </c>
      <c r="B124" s="15">
        <f>$O$120</f>
        <v>7.561227131045105</v>
      </c>
      <c r="C124" s="96" t="s">
        <v>9</v>
      </c>
      <c r="D124" s="44" t="s">
        <v>971</v>
      </c>
      <c r="E124" s="157"/>
      <c r="F124" s="44"/>
      <c r="G124" s="44"/>
      <c r="H124" s="44"/>
      <c r="I124" s="44"/>
      <c r="J124" s="76"/>
      <c r="N124" s="138" t="s">
        <v>257</v>
      </c>
      <c r="O124" s="74">
        <f>0</f>
        <v>0</v>
      </c>
      <c r="P124" s="155" t="s">
        <v>9</v>
      </c>
      <c r="Q124" s="139" t="s">
        <v>941</v>
      </c>
      <c r="R124" s="111"/>
      <c r="AH124" s="106"/>
      <c r="AI124" s="129"/>
      <c r="AJ124" s="129"/>
      <c r="AK124" s="129"/>
      <c r="AL124" s="129"/>
      <c r="AM124" s="129"/>
      <c r="AN124" s="129"/>
      <c r="AO124" s="129"/>
      <c r="AP124" s="129"/>
      <c r="AQ124" s="129"/>
      <c r="AR124" s="129"/>
      <c r="AS124" s="129"/>
      <c r="AT124" s="129"/>
      <c r="AU124" s="129"/>
      <c r="AV124" s="129"/>
      <c r="AW124" s="70"/>
    </row>
    <row r="125" spans="1:49" ht="12.75">
      <c r="A125" s="159" t="s">
        <v>959</v>
      </c>
      <c r="B125" s="17">
        <f>$O$121</f>
        <v>0.6443903598699097</v>
      </c>
      <c r="C125" s="96" t="s">
        <v>9</v>
      </c>
      <c r="D125" s="157" t="s">
        <v>969</v>
      </c>
      <c r="E125" s="157"/>
      <c r="F125" s="44"/>
      <c r="G125" s="44"/>
      <c r="H125" s="44"/>
      <c r="I125" s="44"/>
      <c r="J125" s="76"/>
      <c r="N125" s="138" t="s">
        <v>229</v>
      </c>
      <c r="O125" s="74">
        <f>SQRT($O$123^2+$O$122^2-$O$123*$O$122+3*$O$124^2)</f>
        <v>12.307877444045474</v>
      </c>
      <c r="P125" s="155" t="s">
        <v>9</v>
      </c>
      <c r="Q125" s="139" t="s">
        <v>259</v>
      </c>
      <c r="R125" s="111"/>
      <c r="AH125" s="106"/>
      <c r="AI125" s="129"/>
      <c r="AJ125" s="129"/>
      <c r="AK125" s="129"/>
      <c r="AL125" s="129"/>
      <c r="AM125" s="129"/>
      <c r="AN125" s="129"/>
      <c r="AO125" s="129"/>
      <c r="AP125" s="129"/>
      <c r="AQ125" s="129"/>
      <c r="AR125" s="129"/>
      <c r="AS125" s="129"/>
      <c r="AT125" s="129"/>
      <c r="AU125" s="129"/>
      <c r="AV125" s="129"/>
      <c r="AW125" s="70"/>
    </row>
    <row r="126" spans="1:49" ht="12.75">
      <c r="A126" s="146" t="s">
        <v>267</v>
      </c>
      <c r="B126" s="17">
        <f>$O$122</f>
        <v>9.146704596757127</v>
      </c>
      <c r="C126" s="96" t="s">
        <v>9</v>
      </c>
      <c r="D126" s="147" t="s">
        <v>964</v>
      </c>
      <c r="E126" s="157"/>
      <c r="F126" s="44"/>
      <c r="G126" s="44"/>
      <c r="H126" s="44"/>
      <c r="I126" s="44"/>
      <c r="J126" s="76"/>
      <c r="N126" s="155" t="s">
        <v>939</v>
      </c>
      <c r="O126" s="111"/>
      <c r="P126" s="71"/>
      <c r="Q126" s="136"/>
      <c r="R126" s="137"/>
      <c r="S126" s="111"/>
      <c r="AH126" s="106"/>
      <c r="AI126" s="129"/>
      <c r="AJ126" s="129"/>
      <c r="AK126" s="129"/>
      <c r="AL126" s="129"/>
      <c r="AM126" s="129"/>
      <c r="AN126" s="129"/>
      <c r="AO126" s="129"/>
      <c r="AP126" s="129"/>
      <c r="AQ126" s="129"/>
      <c r="AR126" s="129"/>
      <c r="AS126" s="129"/>
      <c r="AT126" s="129"/>
      <c r="AU126" s="129"/>
      <c r="AV126" s="129"/>
      <c r="AW126" s="70"/>
    </row>
    <row r="127" spans="1:49" ht="12.75">
      <c r="A127" s="146" t="s">
        <v>268</v>
      </c>
      <c r="B127" s="17">
        <f>$O$123</f>
        <v>-4.846689816303827</v>
      </c>
      <c r="C127" s="96" t="s">
        <v>9</v>
      </c>
      <c r="D127" s="147" t="s">
        <v>279</v>
      </c>
      <c r="E127" s="157"/>
      <c r="F127" s="44"/>
      <c r="G127" s="44"/>
      <c r="H127" s="44"/>
      <c r="I127" s="44"/>
      <c r="J127" s="76"/>
      <c r="M127" s="75"/>
      <c r="N127" s="136" t="s">
        <v>965</v>
      </c>
      <c r="O127" s="75">
        <f>$O$34</f>
        <v>7.561227131045105</v>
      </c>
      <c r="P127" s="155" t="s">
        <v>9</v>
      </c>
      <c r="Q127" s="111" t="s">
        <v>972</v>
      </c>
      <c r="U127" s="75"/>
      <c r="AH127" s="106"/>
      <c r="AI127" s="129"/>
      <c r="AJ127" s="129"/>
      <c r="AK127" s="129"/>
      <c r="AL127" s="129"/>
      <c r="AM127" s="129"/>
      <c r="AN127" s="129"/>
      <c r="AO127" s="129"/>
      <c r="AP127" s="129"/>
      <c r="AQ127" s="129"/>
      <c r="AR127" s="129"/>
      <c r="AS127" s="129"/>
      <c r="AT127" s="129"/>
      <c r="AU127" s="129"/>
      <c r="AV127" s="129"/>
      <c r="AW127" s="70"/>
    </row>
    <row r="128" spans="1:49" ht="12.75">
      <c r="A128" s="146" t="s">
        <v>269</v>
      </c>
      <c r="B128" s="17">
        <f>$O$124</f>
        <v>0</v>
      </c>
      <c r="C128" s="96" t="s">
        <v>9</v>
      </c>
      <c r="D128" s="147" t="s">
        <v>942</v>
      </c>
      <c r="E128" s="157"/>
      <c r="F128" s="44"/>
      <c r="G128" s="44"/>
      <c r="H128" s="44"/>
      <c r="I128" s="44"/>
      <c r="J128" s="76"/>
      <c r="M128" s="75"/>
      <c r="N128" s="136" t="s">
        <v>960</v>
      </c>
      <c r="O128" s="75">
        <f>$O$28*12*($F$22/2-$C$26)/$I$22</f>
        <v>4.436632317590499</v>
      </c>
      <c r="P128" s="155" t="s">
        <v>9</v>
      </c>
      <c r="Q128" s="111" t="s">
        <v>968</v>
      </c>
      <c r="U128" s="75"/>
      <c r="AH128" s="106"/>
      <c r="AI128" s="129"/>
      <c r="AJ128" s="129"/>
      <c r="AK128" s="129"/>
      <c r="AL128" s="129"/>
      <c r="AM128" s="129"/>
      <c r="AN128" s="129"/>
      <c r="AO128" s="129"/>
      <c r="AP128" s="129"/>
      <c r="AQ128" s="129"/>
      <c r="AR128" s="129"/>
      <c r="AS128" s="129"/>
      <c r="AT128" s="129"/>
      <c r="AU128" s="129"/>
      <c r="AV128" s="129"/>
      <c r="AW128" s="70"/>
    </row>
    <row r="129" spans="1:54" ht="12.75">
      <c r="A129" s="146" t="s">
        <v>270</v>
      </c>
      <c r="B129" s="16">
        <f>$O$125</f>
        <v>12.307877444045474</v>
      </c>
      <c r="C129" s="96" t="s">
        <v>9</v>
      </c>
      <c r="D129" s="147" t="s">
        <v>280</v>
      </c>
      <c r="E129" s="157"/>
      <c r="F129" s="44"/>
      <c r="G129" s="44"/>
      <c r="H129" s="50"/>
      <c r="I129" s="44"/>
      <c r="J129" s="206" t="str">
        <f>IF($B$129&lt;=0.66*$C$12,"&lt;=","&gt;")&amp;" Fb = 0.66*Fy = "&amp;ROUND(0.66*$C$12,2)&amp;" ksi"&amp;IF($B$129&lt;=0.66*$C$12,", O.K.","")</f>
        <v>&lt;= Fb = 0.66*Fy = 23.76 ksi, O.K.</v>
      </c>
      <c r="N129" s="138" t="s">
        <v>256</v>
      </c>
      <c r="O129" s="74">
        <f>$O$127+$O$128+0.75*$O$115</f>
        <v>23.10957812079633</v>
      </c>
      <c r="P129" s="155" t="s">
        <v>9</v>
      </c>
      <c r="Q129" s="139" t="s">
        <v>975</v>
      </c>
      <c r="R129" s="111"/>
      <c r="S129" s="111"/>
      <c r="AH129" s="106"/>
      <c r="AI129" s="129"/>
      <c r="AJ129" s="129"/>
      <c r="AK129" s="129"/>
      <c r="AL129" s="129"/>
      <c r="AM129" s="129"/>
      <c r="AN129" s="129"/>
      <c r="AO129" s="129"/>
      <c r="AP129" s="129"/>
      <c r="AQ129" s="129"/>
      <c r="AR129" s="129"/>
      <c r="AS129" s="129"/>
      <c r="AT129" s="129"/>
      <c r="AU129" s="129"/>
      <c r="AV129" s="129"/>
      <c r="AW129" s="70"/>
      <c r="BA129" s="204" t="s">
        <v>225</v>
      </c>
      <c r="BB129" s="205">
        <f>$B$129/(0.66*$C$12)</f>
        <v>0.5180083099345738</v>
      </c>
    </row>
    <row r="130" spans="1:49" ht="12.75">
      <c r="A130" s="175" t="s">
        <v>939</v>
      </c>
      <c r="B130" s="44"/>
      <c r="C130" s="50"/>
      <c r="D130" s="118"/>
      <c r="E130" s="226"/>
      <c r="F130" s="44"/>
      <c r="G130" s="44"/>
      <c r="H130" s="44"/>
      <c r="I130" s="44"/>
      <c r="J130" s="76"/>
      <c r="N130" s="138" t="s">
        <v>147</v>
      </c>
      <c r="O130" s="74">
        <f>0.75*$O$114</f>
        <v>3.4202570817205866</v>
      </c>
      <c r="P130" s="155" t="s">
        <v>9</v>
      </c>
      <c r="Q130" s="139" t="s">
        <v>149</v>
      </c>
      <c r="R130" s="111"/>
      <c r="S130" s="111"/>
      <c r="AH130" s="106"/>
      <c r="AI130" s="129"/>
      <c r="AJ130" s="129"/>
      <c r="AK130" s="129"/>
      <c r="AL130" s="129"/>
      <c r="AM130" s="129"/>
      <c r="AN130" s="129"/>
      <c r="AO130" s="129"/>
      <c r="AP130" s="129"/>
      <c r="AQ130" s="129"/>
      <c r="AR130" s="129"/>
      <c r="AS130" s="129"/>
      <c r="AT130" s="129"/>
      <c r="AU130" s="129"/>
      <c r="AV130" s="129"/>
      <c r="AW130" s="70"/>
    </row>
    <row r="131" spans="1:49" ht="12.75">
      <c r="A131" s="159" t="s">
        <v>965</v>
      </c>
      <c r="B131" s="15">
        <f>$O$127</f>
        <v>7.561227131045105</v>
      </c>
      <c r="C131" s="96" t="s">
        <v>9</v>
      </c>
      <c r="D131" s="44" t="s">
        <v>972</v>
      </c>
      <c r="E131" s="44"/>
      <c r="F131" s="44"/>
      <c r="G131" s="44"/>
      <c r="H131" s="44"/>
      <c r="I131" s="44"/>
      <c r="J131" s="76"/>
      <c r="N131" s="138" t="s">
        <v>257</v>
      </c>
      <c r="O131" s="74">
        <f>0</f>
        <v>0</v>
      </c>
      <c r="P131" s="155" t="s">
        <v>9</v>
      </c>
      <c r="Q131" s="139" t="s">
        <v>941</v>
      </c>
      <c r="R131" s="111"/>
      <c r="S131" s="111"/>
      <c r="AH131" s="106"/>
      <c r="AI131" s="129"/>
      <c r="AJ131" s="129"/>
      <c r="AK131" s="129"/>
      <c r="AL131" s="130"/>
      <c r="AM131" s="129"/>
      <c r="AN131" s="129"/>
      <c r="AO131" s="129"/>
      <c r="AP131" s="129"/>
      <c r="AQ131" s="129"/>
      <c r="AR131" s="129"/>
      <c r="AS131" s="129"/>
      <c r="AT131" s="129"/>
      <c r="AU131" s="129"/>
      <c r="AV131" s="129"/>
      <c r="AW131" s="70"/>
    </row>
    <row r="132" spans="1:49" ht="12.75">
      <c r="A132" s="159" t="s">
        <v>960</v>
      </c>
      <c r="B132" s="17">
        <f>$O$128</f>
        <v>4.436632317590499</v>
      </c>
      <c r="C132" s="96" t="s">
        <v>9</v>
      </c>
      <c r="D132" s="157" t="s">
        <v>968</v>
      </c>
      <c r="E132" s="44"/>
      <c r="F132" s="44"/>
      <c r="G132" s="44"/>
      <c r="H132" s="44"/>
      <c r="I132" s="44"/>
      <c r="J132" s="76"/>
      <c r="N132" s="138" t="s">
        <v>230</v>
      </c>
      <c r="O132" s="74">
        <f>SQRT($O$130^2+$O$129^2-$O$130*$O$129+3*$O$131^2)</f>
        <v>21.603473359694256</v>
      </c>
      <c r="P132" s="155" t="s">
        <v>9</v>
      </c>
      <c r="Q132" s="139" t="s">
        <v>258</v>
      </c>
      <c r="R132" s="111"/>
      <c r="S132" s="111"/>
      <c r="AH132" s="106"/>
      <c r="AI132" s="129"/>
      <c r="AJ132" s="129"/>
      <c r="AK132" s="129"/>
      <c r="AL132" s="130"/>
      <c r="AM132" s="129"/>
      <c r="AN132" s="129"/>
      <c r="AO132" s="129"/>
      <c r="AP132" s="129"/>
      <c r="AQ132" s="129"/>
      <c r="AR132" s="129"/>
      <c r="AS132" s="129"/>
      <c r="AT132" s="129"/>
      <c r="AU132" s="129"/>
      <c r="AV132" s="129"/>
      <c r="AW132" s="70"/>
    </row>
    <row r="133" spans="1:49" ht="12.75">
      <c r="A133" s="146" t="s">
        <v>267</v>
      </c>
      <c r="B133" s="17">
        <f>$O$129</f>
        <v>23.10957812079633</v>
      </c>
      <c r="C133" s="96" t="s">
        <v>9</v>
      </c>
      <c r="D133" s="147" t="s">
        <v>967</v>
      </c>
      <c r="E133" s="157"/>
      <c r="F133" s="44"/>
      <c r="G133" s="44"/>
      <c r="H133" s="44"/>
      <c r="I133" s="44"/>
      <c r="J133" s="76"/>
      <c r="N133" s="155" t="s">
        <v>940</v>
      </c>
      <c r="O133" s="111"/>
      <c r="P133" s="71"/>
      <c r="Q133" s="136"/>
      <c r="R133" s="137"/>
      <c r="AH133" s="106"/>
      <c r="AI133" s="129"/>
      <c r="AJ133" s="129"/>
      <c r="AK133" s="129"/>
      <c r="AL133" s="129"/>
      <c r="AM133" s="129"/>
      <c r="AN133" s="129"/>
      <c r="AO133" s="129"/>
      <c r="AP133" s="129"/>
      <c r="AQ133" s="129"/>
      <c r="AR133" s="129"/>
      <c r="AS133" s="129"/>
      <c r="AT133" s="129"/>
      <c r="AU133" s="129"/>
      <c r="AV133" s="129"/>
      <c r="AW133" s="70"/>
    </row>
    <row r="134" spans="1:49" ht="12.75">
      <c r="A134" s="146" t="s">
        <v>268</v>
      </c>
      <c r="B134" s="17">
        <f>$O$130</f>
        <v>3.4202570817205866</v>
      </c>
      <c r="C134" s="96" t="s">
        <v>9</v>
      </c>
      <c r="D134" s="147" t="s">
        <v>281</v>
      </c>
      <c r="E134" s="157"/>
      <c r="F134" s="44"/>
      <c r="G134" s="44"/>
      <c r="H134" s="44"/>
      <c r="I134" s="44"/>
      <c r="J134" s="76"/>
      <c r="M134" s="75"/>
      <c r="N134" s="136" t="s">
        <v>961</v>
      </c>
      <c r="O134" s="75">
        <f>$O$27*12*($F$20/2-$F$23)/$I$20</f>
        <v>6.744080573629513</v>
      </c>
      <c r="P134" s="155" t="s">
        <v>9</v>
      </c>
      <c r="Q134" s="111" t="s">
        <v>970</v>
      </c>
      <c r="AH134" s="106"/>
      <c r="AI134" s="129"/>
      <c r="AJ134" s="129"/>
      <c r="AK134" s="129"/>
      <c r="AL134" s="129"/>
      <c r="AM134" s="129"/>
      <c r="AN134" s="129"/>
      <c r="AO134" s="129"/>
      <c r="AP134" s="129"/>
      <c r="AQ134" s="129"/>
      <c r="AR134" s="129"/>
      <c r="AS134" s="129"/>
      <c r="AT134" s="129"/>
      <c r="AU134" s="129"/>
      <c r="AV134" s="129"/>
      <c r="AW134" s="70"/>
    </row>
    <row r="135" spans="1:49" ht="12.75">
      <c r="A135" s="146" t="s">
        <v>269</v>
      </c>
      <c r="B135" s="17">
        <f>$O$131</f>
        <v>0</v>
      </c>
      <c r="C135" s="96" t="s">
        <v>9</v>
      </c>
      <c r="D135" s="147" t="s">
        <v>942</v>
      </c>
      <c r="E135" s="157"/>
      <c r="F135" s="44"/>
      <c r="G135" s="44"/>
      <c r="H135" s="44"/>
      <c r="I135" s="44"/>
      <c r="J135" s="76"/>
      <c r="M135" s="75"/>
      <c r="N135" s="136" t="s">
        <v>962</v>
      </c>
      <c r="O135" s="75">
        <f>$O$28*12*($F$21/2)/$I$22</f>
        <v>0.6443903598699097</v>
      </c>
      <c r="P135" s="155" t="s">
        <v>9</v>
      </c>
      <c r="Q135" s="111" t="s">
        <v>973</v>
      </c>
      <c r="U135" s="75"/>
      <c r="AH135" s="106"/>
      <c r="AI135" s="129"/>
      <c r="AJ135" s="129"/>
      <c r="AK135" s="129"/>
      <c r="AL135" s="129"/>
      <c r="AM135" s="129"/>
      <c r="AN135" s="129"/>
      <c r="AO135" s="129"/>
      <c r="AP135" s="129"/>
      <c r="AQ135" s="129"/>
      <c r="AR135" s="129"/>
      <c r="AS135" s="129"/>
      <c r="AT135" s="129"/>
      <c r="AU135" s="129"/>
      <c r="AV135" s="129"/>
      <c r="AW135" s="70"/>
    </row>
    <row r="136" spans="1:54" ht="12.75">
      <c r="A136" s="146" t="s">
        <v>271</v>
      </c>
      <c r="B136" s="16">
        <f>$O$132</f>
        <v>21.603473359694256</v>
      </c>
      <c r="C136" s="96" t="s">
        <v>9</v>
      </c>
      <c r="D136" s="147" t="s">
        <v>282</v>
      </c>
      <c r="E136" s="157"/>
      <c r="F136" s="44"/>
      <c r="G136" s="44"/>
      <c r="H136" s="50"/>
      <c r="I136" s="44"/>
      <c r="J136" s="206" t="str">
        <f>IF($B$136&lt;=0.66*$C$12,"&lt;=","&gt;")&amp;" Fb = 0.66*Fy = "&amp;ROUND(0.66*$C$12,2)&amp;" ksi"&amp;IF($B$136&lt;=0.66*$C$12,", O.K.","")</f>
        <v>&lt;= Fb = 0.66*Fy = 23.76 ksi, O.K.</v>
      </c>
      <c r="N136" s="138" t="s">
        <v>256</v>
      </c>
      <c r="O136" s="74">
        <f>$O$134+$O$135+0.75*$O$118</f>
        <v>6.447383827657311</v>
      </c>
      <c r="P136" s="155" t="s">
        <v>9</v>
      </c>
      <c r="Q136" s="139" t="s">
        <v>976</v>
      </c>
      <c r="R136" s="111"/>
      <c r="AH136" s="106"/>
      <c r="AI136" s="129"/>
      <c r="AJ136" s="129"/>
      <c r="AK136" s="129"/>
      <c r="AL136" s="129"/>
      <c r="AM136" s="129"/>
      <c r="AN136" s="129"/>
      <c r="AO136" s="129"/>
      <c r="AP136" s="129"/>
      <c r="AQ136" s="129"/>
      <c r="AR136" s="129"/>
      <c r="AS136" s="129"/>
      <c r="AT136" s="129"/>
      <c r="AU136" s="129"/>
      <c r="AV136" s="129"/>
      <c r="AW136" s="70"/>
      <c r="BA136" s="204" t="s">
        <v>225</v>
      </c>
      <c r="BB136" s="205">
        <f>$B$136/(0.66*$C$12)</f>
        <v>0.9092370942632262</v>
      </c>
    </row>
    <row r="137" spans="1:49" ht="12.75">
      <c r="A137" s="175" t="s">
        <v>940</v>
      </c>
      <c r="B137" s="44"/>
      <c r="C137" s="44"/>
      <c r="D137" s="44"/>
      <c r="E137" s="44"/>
      <c r="F137" s="44"/>
      <c r="G137" s="44"/>
      <c r="H137" s="44"/>
      <c r="I137" s="44"/>
      <c r="J137" s="76"/>
      <c r="N137" s="138" t="s">
        <v>147</v>
      </c>
      <c r="O137" s="74">
        <f>0.75*$O$117</f>
        <v>4.846689816303827</v>
      </c>
      <c r="P137" s="155" t="s">
        <v>9</v>
      </c>
      <c r="Q137" s="139" t="s">
        <v>150</v>
      </c>
      <c r="R137" s="111"/>
      <c r="AH137" s="106"/>
      <c r="AI137" s="129"/>
      <c r="AJ137" s="129"/>
      <c r="AK137" s="129"/>
      <c r="AL137" s="129"/>
      <c r="AM137" s="129"/>
      <c r="AN137" s="129"/>
      <c r="AO137" s="129"/>
      <c r="AP137" s="129"/>
      <c r="AQ137" s="129"/>
      <c r="AR137" s="129"/>
      <c r="AS137" s="129"/>
      <c r="AT137" s="129"/>
      <c r="AU137" s="129"/>
      <c r="AV137" s="129"/>
      <c r="AW137" s="70"/>
    </row>
    <row r="138" spans="1:49" ht="12.75">
      <c r="A138" s="159" t="s">
        <v>961</v>
      </c>
      <c r="B138" s="15">
        <f>$O$134</f>
        <v>6.744080573629513</v>
      </c>
      <c r="C138" s="96" t="s">
        <v>9</v>
      </c>
      <c r="D138" s="44" t="s">
        <v>970</v>
      </c>
      <c r="E138" s="44"/>
      <c r="F138" s="44"/>
      <c r="G138" s="44"/>
      <c r="H138" s="44"/>
      <c r="I138" s="44"/>
      <c r="J138" s="76"/>
      <c r="N138" s="138" t="s">
        <v>257</v>
      </c>
      <c r="O138" s="74">
        <f>0</f>
        <v>0</v>
      </c>
      <c r="P138" s="155" t="s">
        <v>9</v>
      </c>
      <c r="Q138" s="139" t="s">
        <v>941</v>
      </c>
      <c r="R138" s="111"/>
      <c r="T138" s="78"/>
      <c r="AH138" s="106"/>
      <c r="AI138" s="129"/>
      <c r="AJ138" s="129"/>
      <c r="AK138" s="129"/>
      <c r="AL138" s="129"/>
      <c r="AM138" s="129"/>
      <c r="AN138" s="129"/>
      <c r="AO138" s="129"/>
      <c r="AP138" s="129"/>
      <c r="AQ138" s="129"/>
      <c r="AR138" s="129"/>
      <c r="AS138" s="129"/>
      <c r="AT138" s="129"/>
      <c r="AU138" s="129"/>
      <c r="AV138" s="129"/>
      <c r="AW138" s="70"/>
    </row>
    <row r="139" spans="1:49" ht="12.75">
      <c r="A139" s="159" t="s">
        <v>962</v>
      </c>
      <c r="B139" s="17">
        <f>$O$135</f>
        <v>0.6443903598699097</v>
      </c>
      <c r="C139" s="96" t="s">
        <v>9</v>
      </c>
      <c r="D139" s="157" t="s">
        <v>973</v>
      </c>
      <c r="E139" s="227"/>
      <c r="F139" s="44"/>
      <c r="G139" s="44"/>
      <c r="H139" s="44"/>
      <c r="I139" s="44"/>
      <c r="J139" s="76"/>
      <c r="N139" s="138" t="s">
        <v>231</v>
      </c>
      <c r="O139" s="74">
        <f>SQRT($O$137^2+$O$136^2-$O$137*$O$136+3*$O$138^2)</f>
        <v>5.8146961104851895</v>
      </c>
      <c r="P139" s="155" t="s">
        <v>9</v>
      </c>
      <c r="Q139" s="139" t="s">
        <v>260</v>
      </c>
      <c r="R139" s="111"/>
      <c r="T139" s="78"/>
      <c r="AH139" s="106"/>
      <c r="AI139" s="129"/>
      <c r="AJ139" s="129"/>
      <c r="AK139" s="129"/>
      <c r="AL139" s="129"/>
      <c r="AM139" s="129"/>
      <c r="AN139" s="129"/>
      <c r="AO139" s="129"/>
      <c r="AP139" s="129"/>
      <c r="AQ139" s="129"/>
      <c r="AR139" s="129"/>
      <c r="AS139" s="129"/>
      <c r="AT139" s="129"/>
      <c r="AU139" s="129"/>
      <c r="AV139" s="129"/>
      <c r="AW139" s="70"/>
    </row>
    <row r="140" spans="1:49" ht="12.75">
      <c r="A140" s="146" t="s">
        <v>267</v>
      </c>
      <c r="B140" s="17">
        <f>$O$136</f>
        <v>6.447383827657311</v>
      </c>
      <c r="C140" s="96" t="s">
        <v>9</v>
      </c>
      <c r="D140" s="147" t="s">
        <v>966</v>
      </c>
      <c r="E140" s="157"/>
      <c r="F140" s="44"/>
      <c r="G140" s="44"/>
      <c r="H140" s="44"/>
      <c r="I140" s="44"/>
      <c r="J140" s="76"/>
      <c r="AH140" s="106"/>
      <c r="AI140" s="129"/>
      <c r="AJ140" s="129"/>
      <c r="AK140" s="129"/>
      <c r="AL140" s="129"/>
      <c r="AM140" s="129"/>
      <c r="AN140" s="129"/>
      <c r="AO140" s="129"/>
      <c r="AP140" s="129"/>
      <c r="AQ140" s="129"/>
      <c r="AR140" s="129"/>
      <c r="AS140" s="129"/>
      <c r="AT140" s="129"/>
      <c r="AU140" s="129"/>
      <c r="AV140" s="129"/>
      <c r="AW140" s="70"/>
    </row>
    <row r="141" spans="1:49" ht="12.75">
      <c r="A141" s="146" t="s">
        <v>268</v>
      </c>
      <c r="B141" s="17">
        <f>$O$137</f>
        <v>4.846689816303827</v>
      </c>
      <c r="C141" s="96" t="s">
        <v>9</v>
      </c>
      <c r="D141" s="147" t="s">
        <v>283</v>
      </c>
      <c r="E141" s="157"/>
      <c r="F141" s="44"/>
      <c r="G141" s="48"/>
      <c r="H141" s="44"/>
      <c r="I141" s="44"/>
      <c r="J141" s="76"/>
      <c r="AH141" s="106"/>
      <c r="AI141" s="129"/>
      <c r="AJ141" s="129"/>
      <c r="AK141" s="129"/>
      <c r="AL141" s="129"/>
      <c r="AM141" s="129"/>
      <c r="AN141" s="129"/>
      <c r="AO141" s="129"/>
      <c r="AP141" s="129"/>
      <c r="AQ141" s="129"/>
      <c r="AR141" s="129"/>
      <c r="AS141" s="129"/>
      <c r="AT141" s="129"/>
      <c r="AU141" s="129"/>
      <c r="AV141" s="129"/>
      <c r="AW141" s="70"/>
    </row>
    <row r="142" spans="1:49" ht="12.75">
      <c r="A142" s="146" t="s">
        <v>269</v>
      </c>
      <c r="B142" s="17">
        <f>$O$138</f>
        <v>0</v>
      </c>
      <c r="C142" s="96" t="s">
        <v>9</v>
      </c>
      <c r="D142" s="147" t="s">
        <v>942</v>
      </c>
      <c r="E142" s="157"/>
      <c r="F142" s="44"/>
      <c r="G142" s="44"/>
      <c r="H142" s="44"/>
      <c r="I142" s="44"/>
      <c r="J142" s="76"/>
      <c r="AH142" s="106"/>
      <c r="AI142" s="129"/>
      <c r="AJ142" s="129"/>
      <c r="AK142" s="129"/>
      <c r="AL142" s="129"/>
      <c r="AM142" s="129"/>
      <c r="AN142" s="129"/>
      <c r="AO142" s="129"/>
      <c r="AP142" s="129"/>
      <c r="AQ142" s="129"/>
      <c r="AR142" s="129"/>
      <c r="AS142" s="129"/>
      <c r="AT142" s="129"/>
      <c r="AU142" s="129"/>
      <c r="AV142" s="129"/>
      <c r="AW142" s="70"/>
    </row>
    <row r="143" spans="1:54" ht="12.75">
      <c r="A143" s="146" t="s">
        <v>272</v>
      </c>
      <c r="B143" s="16">
        <f>$O$139</f>
        <v>5.8146961104851895</v>
      </c>
      <c r="C143" s="96" t="s">
        <v>9</v>
      </c>
      <c r="D143" s="147" t="s">
        <v>284</v>
      </c>
      <c r="E143" s="157"/>
      <c r="F143" s="44"/>
      <c r="G143" s="44"/>
      <c r="H143" s="50"/>
      <c r="I143" s="44"/>
      <c r="J143" s="206" t="str">
        <f>IF($B$143&lt;=0.66*$C$12,"&lt;=","&gt;")&amp;" Fb = 0.66*Fy = "&amp;ROUND(0.66*$C$12,2)&amp;" ksi"&amp;IF($B$143&lt;=0.66*$C$12,", O.K.","")</f>
        <v>&lt;= Fb = 0.66*Fy = 23.76 ksi, O.K.</v>
      </c>
      <c r="AH143" s="106"/>
      <c r="AI143" s="129"/>
      <c r="AJ143" s="129"/>
      <c r="AK143" s="129"/>
      <c r="AL143" s="129"/>
      <c r="AM143" s="129"/>
      <c r="AN143" s="129"/>
      <c r="AO143" s="129"/>
      <c r="AP143" s="129"/>
      <c r="AQ143" s="129"/>
      <c r="AR143" s="129"/>
      <c r="AS143" s="129"/>
      <c r="AT143" s="129"/>
      <c r="AU143" s="129"/>
      <c r="AV143" s="129"/>
      <c r="AW143" s="70"/>
      <c r="BA143" s="204" t="s">
        <v>225</v>
      </c>
      <c r="BB143" s="205">
        <f>$B$143/(0.66*$C$12)</f>
        <v>0.24472626727631266</v>
      </c>
    </row>
    <row r="144" spans="1:49" ht="12.75">
      <c r="A144" s="83"/>
      <c r="B144" s="44"/>
      <c r="C144" s="44"/>
      <c r="D144" s="44"/>
      <c r="E144" s="44"/>
      <c r="F144" s="44"/>
      <c r="G144" s="44"/>
      <c r="H144" s="44"/>
      <c r="I144" s="44"/>
      <c r="J144" s="203"/>
      <c r="AH144" s="106"/>
      <c r="AI144" s="129"/>
      <c r="AJ144" s="129"/>
      <c r="AK144" s="129"/>
      <c r="AL144" s="129"/>
      <c r="AM144" s="129"/>
      <c r="AN144" s="129"/>
      <c r="AO144" s="129"/>
      <c r="AP144" s="129"/>
      <c r="AQ144" s="129"/>
      <c r="AR144" s="129"/>
      <c r="AS144" s="129"/>
      <c r="AT144" s="129"/>
      <c r="AU144" s="129"/>
      <c r="AV144" s="129"/>
      <c r="AW144" s="70"/>
    </row>
    <row r="145" spans="1:49" ht="12.75">
      <c r="A145" s="83"/>
      <c r="B145" s="44"/>
      <c r="C145" s="44"/>
      <c r="D145" s="44"/>
      <c r="E145" s="44"/>
      <c r="F145" s="44"/>
      <c r="G145" s="44"/>
      <c r="H145" s="44"/>
      <c r="I145" s="44"/>
      <c r="J145" s="76"/>
      <c r="AH145" s="106"/>
      <c r="AI145" s="129"/>
      <c r="AJ145" s="129"/>
      <c r="AK145" s="129"/>
      <c r="AL145" s="129"/>
      <c r="AM145" s="129"/>
      <c r="AN145" s="129"/>
      <c r="AO145" s="129"/>
      <c r="AP145" s="129"/>
      <c r="AQ145" s="129"/>
      <c r="AR145" s="129"/>
      <c r="AS145" s="129"/>
      <c r="AT145" s="129"/>
      <c r="AU145" s="129"/>
      <c r="AV145" s="129"/>
      <c r="AW145" s="70"/>
    </row>
    <row r="146" spans="1:49" ht="12.75">
      <c r="A146" s="83"/>
      <c r="B146" s="44"/>
      <c r="C146" s="44"/>
      <c r="D146" s="44"/>
      <c r="E146" s="44"/>
      <c r="F146" s="44"/>
      <c r="G146" s="44"/>
      <c r="H146" s="44"/>
      <c r="I146" s="44"/>
      <c r="J146" s="76"/>
      <c r="AH146" s="106"/>
      <c r="AI146" s="129"/>
      <c r="AJ146" s="129"/>
      <c r="AK146" s="129"/>
      <c r="AL146" s="129"/>
      <c r="AM146" s="129"/>
      <c r="AN146" s="129"/>
      <c r="AO146" s="129"/>
      <c r="AP146" s="129"/>
      <c r="AQ146" s="129"/>
      <c r="AR146" s="129"/>
      <c r="AS146" s="129"/>
      <c r="AT146" s="129"/>
      <c r="AU146" s="129"/>
      <c r="AV146" s="129"/>
      <c r="AW146" s="70"/>
    </row>
    <row r="147" spans="1:49" ht="12.75">
      <c r="A147" s="83"/>
      <c r="B147" s="44"/>
      <c r="C147" s="44"/>
      <c r="D147" s="44"/>
      <c r="E147" s="44"/>
      <c r="F147" s="44"/>
      <c r="G147" s="44"/>
      <c r="H147" s="44"/>
      <c r="I147" s="44"/>
      <c r="J147" s="76"/>
      <c r="AH147" s="106"/>
      <c r="AI147" s="129"/>
      <c r="AJ147" s="129"/>
      <c r="AK147" s="129"/>
      <c r="AL147" s="129"/>
      <c r="AM147" s="129"/>
      <c r="AN147" s="129"/>
      <c r="AO147" s="129"/>
      <c r="AP147" s="129"/>
      <c r="AQ147" s="129"/>
      <c r="AR147" s="129"/>
      <c r="AS147" s="129"/>
      <c r="AT147" s="129"/>
      <c r="AU147" s="129"/>
      <c r="AV147" s="129"/>
      <c r="AW147" s="70"/>
    </row>
    <row r="148" spans="1:49" ht="12.75">
      <c r="A148" s="83"/>
      <c r="B148" s="44"/>
      <c r="C148" s="44"/>
      <c r="D148" s="44"/>
      <c r="E148" s="44"/>
      <c r="F148" s="44"/>
      <c r="G148" s="44"/>
      <c r="H148" s="44"/>
      <c r="I148" s="44"/>
      <c r="J148" s="76"/>
      <c r="AH148" s="106"/>
      <c r="AI148" s="129"/>
      <c r="AJ148" s="129"/>
      <c r="AK148" s="129"/>
      <c r="AL148" s="129"/>
      <c r="AM148" s="129"/>
      <c r="AN148" s="129"/>
      <c r="AO148" s="129"/>
      <c r="AP148" s="129"/>
      <c r="AQ148" s="129"/>
      <c r="AR148" s="129"/>
      <c r="AS148" s="129"/>
      <c r="AT148" s="129"/>
      <c r="AU148" s="129"/>
      <c r="AV148" s="129"/>
      <c r="AW148" s="70"/>
    </row>
    <row r="149" spans="1:49" ht="12.75">
      <c r="A149" s="83"/>
      <c r="B149" s="44"/>
      <c r="C149" s="44"/>
      <c r="D149" s="44"/>
      <c r="E149" s="44"/>
      <c r="F149" s="44"/>
      <c r="G149" s="44"/>
      <c r="H149" s="44"/>
      <c r="I149" s="44"/>
      <c r="J149" s="76"/>
      <c r="AH149" s="106"/>
      <c r="AI149" s="129"/>
      <c r="AJ149" s="129"/>
      <c r="AK149" s="129"/>
      <c r="AL149" s="129"/>
      <c r="AM149" s="129"/>
      <c r="AN149" s="129"/>
      <c r="AO149" s="129"/>
      <c r="AP149" s="129"/>
      <c r="AQ149" s="129"/>
      <c r="AR149" s="129"/>
      <c r="AS149" s="129"/>
      <c r="AT149" s="129"/>
      <c r="AU149" s="129"/>
      <c r="AV149" s="129"/>
      <c r="AW149" s="70"/>
    </row>
    <row r="150" spans="1:49" ht="12.75">
      <c r="A150" s="83"/>
      <c r="B150" s="44"/>
      <c r="C150" s="44"/>
      <c r="D150" s="44"/>
      <c r="E150" s="44"/>
      <c r="F150" s="44"/>
      <c r="G150" s="44"/>
      <c r="H150" s="44"/>
      <c r="I150" s="44"/>
      <c r="J150" s="76"/>
      <c r="AH150" s="106"/>
      <c r="AI150" s="129"/>
      <c r="AJ150" s="129"/>
      <c r="AK150" s="129"/>
      <c r="AL150" s="129"/>
      <c r="AM150" s="129"/>
      <c r="AN150" s="129"/>
      <c r="AO150" s="129"/>
      <c r="AP150" s="129"/>
      <c r="AQ150" s="129"/>
      <c r="AR150" s="129"/>
      <c r="AS150" s="129"/>
      <c r="AT150" s="129"/>
      <c r="AU150" s="129"/>
      <c r="AV150" s="129"/>
      <c r="AW150" s="70"/>
    </row>
    <row r="151" spans="1:49" ht="12.75">
      <c r="A151" s="83"/>
      <c r="B151" s="44"/>
      <c r="C151" s="44"/>
      <c r="D151" s="44"/>
      <c r="E151" s="44"/>
      <c r="F151" s="44"/>
      <c r="G151" s="44"/>
      <c r="H151" s="44"/>
      <c r="I151" s="44"/>
      <c r="J151" s="76"/>
      <c r="AH151" s="106"/>
      <c r="AI151" s="129"/>
      <c r="AJ151" s="129"/>
      <c r="AK151" s="129"/>
      <c r="AL151" s="129"/>
      <c r="AM151" s="129"/>
      <c r="AN151" s="129"/>
      <c r="AO151" s="129"/>
      <c r="AP151" s="129"/>
      <c r="AQ151" s="129"/>
      <c r="AR151" s="129"/>
      <c r="AS151" s="129"/>
      <c r="AT151" s="129"/>
      <c r="AU151" s="129"/>
      <c r="AV151" s="129"/>
      <c r="AW151" s="70"/>
    </row>
    <row r="152" spans="1:49" ht="12.75">
      <c r="A152" s="83"/>
      <c r="B152" s="44"/>
      <c r="C152" s="44"/>
      <c r="D152" s="44"/>
      <c r="E152" s="44"/>
      <c r="F152" s="44"/>
      <c r="G152" s="44"/>
      <c r="H152" s="44"/>
      <c r="I152" s="44"/>
      <c r="J152" s="76"/>
      <c r="AH152" s="106"/>
      <c r="AI152" s="129"/>
      <c r="AJ152" s="129"/>
      <c r="AK152" s="129"/>
      <c r="AL152" s="129"/>
      <c r="AM152" s="129"/>
      <c r="AN152" s="129"/>
      <c r="AO152" s="129"/>
      <c r="AP152" s="129"/>
      <c r="AQ152" s="129"/>
      <c r="AR152" s="129"/>
      <c r="AS152" s="129"/>
      <c r="AT152" s="129"/>
      <c r="AU152" s="129"/>
      <c r="AV152" s="129"/>
      <c r="AW152" s="70"/>
    </row>
    <row r="153" spans="1:49" ht="12.75">
      <c r="A153" s="83"/>
      <c r="B153" s="44"/>
      <c r="C153" s="44"/>
      <c r="D153" s="44"/>
      <c r="E153" s="44"/>
      <c r="F153" s="44"/>
      <c r="G153" s="44"/>
      <c r="H153" s="44"/>
      <c r="I153" s="44"/>
      <c r="J153" s="76"/>
      <c r="AH153" s="106"/>
      <c r="AI153" s="129"/>
      <c r="AJ153" s="129"/>
      <c r="AK153" s="129"/>
      <c r="AL153" s="129"/>
      <c r="AM153" s="129"/>
      <c r="AN153" s="129"/>
      <c r="AO153" s="129"/>
      <c r="AP153" s="129"/>
      <c r="AQ153" s="129"/>
      <c r="AR153" s="129"/>
      <c r="AS153" s="129"/>
      <c r="AT153" s="129"/>
      <c r="AU153" s="129"/>
      <c r="AV153" s="129"/>
      <c r="AW153" s="70"/>
    </row>
    <row r="154" spans="1:49" ht="12.75">
      <c r="A154" s="83"/>
      <c r="B154" s="44"/>
      <c r="C154" s="44"/>
      <c r="D154" s="44"/>
      <c r="E154" s="44"/>
      <c r="F154" s="44"/>
      <c r="G154" s="44"/>
      <c r="H154" s="44"/>
      <c r="I154" s="44"/>
      <c r="J154" s="76"/>
      <c r="AH154" s="106"/>
      <c r="AI154" s="129"/>
      <c r="AJ154" s="129"/>
      <c r="AK154" s="129"/>
      <c r="AL154" s="129"/>
      <c r="AM154" s="129"/>
      <c r="AN154" s="129"/>
      <c r="AO154" s="129"/>
      <c r="AP154" s="129"/>
      <c r="AQ154" s="129"/>
      <c r="AR154" s="129"/>
      <c r="AS154" s="129"/>
      <c r="AT154" s="129"/>
      <c r="AU154" s="129"/>
      <c r="AV154" s="129"/>
      <c r="AW154" s="70"/>
    </row>
    <row r="155" spans="1:49" ht="12.75">
      <c r="A155" s="83"/>
      <c r="B155" s="44"/>
      <c r="C155" s="44"/>
      <c r="D155" s="44"/>
      <c r="E155" s="44"/>
      <c r="F155" s="44"/>
      <c r="G155" s="44"/>
      <c r="H155" s="44"/>
      <c r="I155" s="44"/>
      <c r="J155" s="76"/>
      <c r="AH155" s="106"/>
      <c r="AI155" s="129"/>
      <c r="AJ155" s="129"/>
      <c r="AK155" s="129"/>
      <c r="AL155" s="130"/>
      <c r="AM155" s="129"/>
      <c r="AN155" s="129"/>
      <c r="AO155" s="129"/>
      <c r="AP155" s="129"/>
      <c r="AQ155" s="129"/>
      <c r="AR155" s="129"/>
      <c r="AS155" s="129"/>
      <c r="AT155" s="129"/>
      <c r="AU155" s="129"/>
      <c r="AV155" s="129"/>
      <c r="AW155" s="70"/>
    </row>
    <row r="156" spans="1:49" ht="12.75">
      <c r="A156" s="83"/>
      <c r="B156" s="44"/>
      <c r="C156" s="44"/>
      <c r="D156" s="44"/>
      <c r="E156" s="44"/>
      <c r="F156" s="44"/>
      <c r="G156" s="44"/>
      <c r="H156" s="44"/>
      <c r="I156" s="44"/>
      <c r="J156" s="76"/>
      <c r="AH156" s="106"/>
      <c r="AI156" s="129"/>
      <c r="AJ156" s="129"/>
      <c r="AK156" s="129"/>
      <c r="AL156" s="130"/>
      <c r="AM156" s="129"/>
      <c r="AN156" s="129"/>
      <c r="AO156" s="129"/>
      <c r="AP156" s="129"/>
      <c r="AQ156" s="129"/>
      <c r="AR156" s="129"/>
      <c r="AS156" s="129"/>
      <c r="AT156" s="129"/>
      <c r="AU156" s="129"/>
      <c r="AV156" s="129"/>
      <c r="AW156" s="70"/>
    </row>
    <row r="157" spans="1:49" ht="12.75">
      <c r="A157" s="83"/>
      <c r="B157" s="44"/>
      <c r="C157" s="44"/>
      <c r="D157" s="44"/>
      <c r="E157" s="44"/>
      <c r="F157" s="44"/>
      <c r="G157" s="44"/>
      <c r="H157" s="44"/>
      <c r="I157" s="44"/>
      <c r="J157" s="76"/>
      <c r="AH157" s="106"/>
      <c r="AI157" s="129"/>
      <c r="AJ157" s="129"/>
      <c r="AK157" s="129"/>
      <c r="AL157" s="131"/>
      <c r="AM157" s="129"/>
      <c r="AN157" s="129"/>
      <c r="AO157" s="129"/>
      <c r="AP157" s="129"/>
      <c r="AQ157" s="129"/>
      <c r="AR157" s="129"/>
      <c r="AS157" s="129"/>
      <c r="AT157" s="129"/>
      <c r="AU157" s="129"/>
      <c r="AV157" s="129"/>
      <c r="AW157" s="70"/>
    </row>
    <row r="158" spans="1:49" ht="12.75">
      <c r="A158" s="83"/>
      <c r="B158" s="44"/>
      <c r="C158" s="44"/>
      <c r="D158" s="44"/>
      <c r="E158" s="44"/>
      <c r="F158" s="44"/>
      <c r="G158" s="44"/>
      <c r="H158" s="44"/>
      <c r="I158" s="44"/>
      <c r="J158" s="76"/>
      <c r="AH158" s="106"/>
      <c r="AI158" s="129"/>
      <c r="AJ158" s="129"/>
      <c r="AK158" s="129"/>
      <c r="AL158" s="131"/>
      <c r="AM158" s="129"/>
      <c r="AN158" s="129"/>
      <c r="AO158" s="129"/>
      <c r="AP158" s="129"/>
      <c r="AQ158" s="129"/>
      <c r="AR158" s="129"/>
      <c r="AS158" s="129"/>
      <c r="AT158" s="129"/>
      <c r="AU158" s="129"/>
      <c r="AV158" s="129"/>
      <c r="AW158" s="70"/>
    </row>
    <row r="159" spans="1:49" ht="12.75">
      <c r="A159" s="83"/>
      <c r="B159" s="44"/>
      <c r="C159" s="44"/>
      <c r="D159" s="44"/>
      <c r="E159" s="44"/>
      <c r="F159" s="44"/>
      <c r="G159" s="44"/>
      <c r="H159" s="44"/>
      <c r="I159" s="44"/>
      <c r="J159" s="76"/>
      <c r="AH159" s="106"/>
      <c r="AI159" s="129"/>
      <c r="AJ159" s="129"/>
      <c r="AK159" s="129"/>
      <c r="AL159" s="131"/>
      <c r="AM159" s="129"/>
      <c r="AN159" s="129"/>
      <c r="AO159" s="129"/>
      <c r="AP159" s="129"/>
      <c r="AQ159" s="129"/>
      <c r="AR159" s="129"/>
      <c r="AS159" s="129"/>
      <c r="AT159" s="129"/>
      <c r="AU159" s="129"/>
      <c r="AV159" s="129"/>
      <c r="AW159" s="70"/>
    </row>
    <row r="160" spans="1:49" ht="12.75">
      <c r="A160" s="83"/>
      <c r="B160" s="44"/>
      <c r="C160" s="44"/>
      <c r="D160" s="44"/>
      <c r="E160" s="44"/>
      <c r="F160" s="44"/>
      <c r="G160" s="44"/>
      <c r="H160" s="44"/>
      <c r="I160" s="44"/>
      <c r="J160" s="76"/>
      <c r="AH160" s="106"/>
      <c r="AI160" s="129"/>
      <c r="AJ160" s="129"/>
      <c r="AK160" s="129"/>
      <c r="AL160" s="130"/>
      <c r="AM160" s="129"/>
      <c r="AN160" s="129"/>
      <c r="AO160" s="129"/>
      <c r="AP160" s="129"/>
      <c r="AQ160" s="129"/>
      <c r="AR160" s="129"/>
      <c r="AS160" s="129"/>
      <c r="AT160" s="129"/>
      <c r="AU160" s="129"/>
      <c r="AV160" s="129"/>
      <c r="AW160" s="70"/>
    </row>
    <row r="161" spans="1:49" ht="12.75">
      <c r="A161" s="83"/>
      <c r="B161" s="44"/>
      <c r="C161" s="44"/>
      <c r="D161" s="44"/>
      <c r="E161" s="44"/>
      <c r="F161" s="44"/>
      <c r="G161" s="44"/>
      <c r="H161" s="44"/>
      <c r="I161" s="44"/>
      <c r="J161" s="76"/>
      <c r="AH161" s="106"/>
      <c r="AI161" s="129"/>
      <c r="AJ161" s="129"/>
      <c r="AK161" s="129"/>
      <c r="AL161" s="130"/>
      <c r="AM161" s="129"/>
      <c r="AN161" s="129"/>
      <c r="AO161" s="129"/>
      <c r="AP161" s="129"/>
      <c r="AQ161" s="129"/>
      <c r="AR161" s="129"/>
      <c r="AS161" s="129"/>
      <c r="AT161" s="129"/>
      <c r="AU161" s="129"/>
      <c r="AV161" s="129"/>
      <c r="AW161" s="70"/>
    </row>
    <row r="162" spans="1:49" ht="12.75">
      <c r="A162" s="83"/>
      <c r="B162" s="44"/>
      <c r="C162" s="44"/>
      <c r="D162" s="44"/>
      <c r="E162" s="44"/>
      <c r="F162" s="44"/>
      <c r="G162" s="44"/>
      <c r="H162" s="44"/>
      <c r="I162" s="44"/>
      <c r="J162" s="76"/>
      <c r="AH162" s="106"/>
      <c r="AI162" s="129"/>
      <c r="AJ162" s="129"/>
      <c r="AK162" s="129"/>
      <c r="AL162" s="129"/>
      <c r="AM162" s="129"/>
      <c r="AN162" s="129"/>
      <c r="AO162" s="129"/>
      <c r="AP162" s="129"/>
      <c r="AQ162" s="129"/>
      <c r="AR162" s="129"/>
      <c r="AS162" s="129"/>
      <c r="AT162" s="129"/>
      <c r="AU162" s="129"/>
      <c r="AV162" s="129"/>
      <c r="AW162" s="70"/>
    </row>
    <row r="163" spans="1:49" ht="12.75">
      <c r="A163" s="83"/>
      <c r="B163" s="44"/>
      <c r="C163" s="44"/>
      <c r="D163" s="44"/>
      <c r="E163" s="44"/>
      <c r="F163" s="44"/>
      <c r="G163" s="44"/>
      <c r="H163" s="44"/>
      <c r="I163" s="44"/>
      <c r="J163" s="76"/>
      <c r="AH163" s="106"/>
      <c r="AI163" s="129"/>
      <c r="AJ163" s="129"/>
      <c r="AK163" s="129"/>
      <c r="AL163" s="129"/>
      <c r="AM163" s="129"/>
      <c r="AN163" s="129"/>
      <c r="AO163" s="129"/>
      <c r="AP163" s="129"/>
      <c r="AQ163" s="129"/>
      <c r="AR163" s="129"/>
      <c r="AS163" s="129"/>
      <c r="AT163" s="129"/>
      <c r="AU163" s="129"/>
      <c r="AV163" s="129"/>
      <c r="AW163" s="70"/>
    </row>
    <row r="164" spans="1:49" ht="12.75">
      <c r="A164" s="83"/>
      <c r="B164" s="44"/>
      <c r="C164" s="44"/>
      <c r="D164" s="44"/>
      <c r="E164" s="44"/>
      <c r="F164" s="44"/>
      <c r="G164" s="44"/>
      <c r="H164" s="44"/>
      <c r="I164" s="44"/>
      <c r="J164" s="76"/>
      <c r="AH164" s="106"/>
      <c r="AI164" s="129"/>
      <c r="AJ164" s="129"/>
      <c r="AK164" s="129"/>
      <c r="AL164" s="129"/>
      <c r="AM164" s="129"/>
      <c r="AN164" s="129"/>
      <c r="AO164" s="129"/>
      <c r="AP164" s="129"/>
      <c r="AQ164" s="129"/>
      <c r="AR164" s="129"/>
      <c r="AS164" s="129"/>
      <c r="AT164" s="129"/>
      <c r="AU164" s="129"/>
      <c r="AV164" s="129"/>
      <c r="AW164" s="70"/>
    </row>
    <row r="165" spans="1:49" ht="12.75">
      <c r="A165" s="166"/>
      <c r="B165" s="167"/>
      <c r="C165" s="167"/>
      <c r="D165" s="167"/>
      <c r="E165" s="167"/>
      <c r="F165" s="167"/>
      <c r="G165" s="167"/>
      <c r="H165" s="167"/>
      <c r="I165" s="167"/>
      <c r="J165" s="168"/>
      <c r="AH165" s="106"/>
      <c r="AI165" s="129"/>
      <c r="AJ165" s="129"/>
      <c r="AK165" s="129"/>
      <c r="AL165" s="129"/>
      <c r="AM165" s="129"/>
      <c r="AN165" s="129"/>
      <c r="AO165" s="129"/>
      <c r="AP165" s="129"/>
      <c r="AQ165" s="129"/>
      <c r="AR165" s="129"/>
      <c r="AS165" s="129"/>
      <c r="AT165" s="129"/>
      <c r="AU165" s="129"/>
      <c r="AV165" s="129"/>
      <c r="AW165" s="70"/>
    </row>
    <row r="166" spans="34:49" ht="12.75">
      <c r="AH166" s="106"/>
      <c r="AI166" s="129"/>
      <c r="AJ166" s="129"/>
      <c r="AK166" s="129"/>
      <c r="AL166" s="129"/>
      <c r="AM166" s="129"/>
      <c r="AN166" s="129"/>
      <c r="AO166" s="129"/>
      <c r="AP166" s="129"/>
      <c r="AQ166" s="129"/>
      <c r="AR166" s="129"/>
      <c r="AS166" s="129"/>
      <c r="AT166" s="129"/>
      <c r="AU166" s="129"/>
      <c r="AV166" s="129"/>
      <c r="AW166" s="70"/>
    </row>
    <row r="167" spans="34:49" ht="12.75">
      <c r="AH167" s="106"/>
      <c r="AI167" s="129"/>
      <c r="AJ167" s="129"/>
      <c r="AK167" s="129"/>
      <c r="AL167" s="129"/>
      <c r="AM167" s="129"/>
      <c r="AN167" s="129"/>
      <c r="AO167" s="129"/>
      <c r="AP167" s="129"/>
      <c r="AQ167" s="129"/>
      <c r="AR167" s="129"/>
      <c r="AS167" s="129"/>
      <c r="AT167" s="129"/>
      <c r="AU167" s="129"/>
      <c r="AV167" s="129"/>
      <c r="AW167" s="70"/>
    </row>
    <row r="168" spans="34:49" ht="12.75">
      <c r="AH168" s="106"/>
      <c r="AI168" s="129"/>
      <c r="AJ168" s="129"/>
      <c r="AK168" s="129"/>
      <c r="AL168" s="129"/>
      <c r="AM168" s="129"/>
      <c r="AN168" s="129"/>
      <c r="AO168" s="129"/>
      <c r="AP168" s="129"/>
      <c r="AQ168" s="129"/>
      <c r="AR168" s="129"/>
      <c r="AS168" s="129"/>
      <c r="AT168" s="129"/>
      <c r="AU168" s="129"/>
      <c r="AV168" s="129"/>
      <c r="AW168" s="70"/>
    </row>
    <row r="169" spans="34:49" ht="12.75">
      <c r="AH169" s="106"/>
      <c r="AI169" s="129"/>
      <c r="AJ169" s="129"/>
      <c r="AK169" s="129"/>
      <c r="AL169" s="129"/>
      <c r="AM169" s="129"/>
      <c r="AN169" s="129"/>
      <c r="AO169" s="129"/>
      <c r="AP169" s="129"/>
      <c r="AQ169" s="129"/>
      <c r="AR169" s="129"/>
      <c r="AS169" s="129"/>
      <c r="AT169" s="129"/>
      <c r="AU169" s="129"/>
      <c r="AV169" s="129"/>
      <c r="AW169" s="70"/>
    </row>
    <row r="170" spans="34:49" ht="12.75">
      <c r="AH170" s="106"/>
      <c r="AI170" s="129"/>
      <c r="AJ170" s="129"/>
      <c r="AK170" s="129"/>
      <c r="AL170" s="129"/>
      <c r="AM170" s="129"/>
      <c r="AN170" s="129"/>
      <c r="AO170" s="129"/>
      <c r="AP170" s="129"/>
      <c r="AQ170" s="129"/>
      <c r="AR170" s="129"/>
      <c r="AS170" s="129"/>
      <c r="AT170" s="129"/>
      <c r="AU170" s="129"/>
      <c r="AV170" s="129"/>
      <c r="AW170" s="70"/>
    </row>
    <row r="171" spans="34:49" ht="12.75">
      <c r="AH171" s="106"/>
      <c r="AI171" s="129"/>
      <c r="AJ171" s="129"/>
      <c r="AK171" s="129"/>
      <c r="AL171" s="129"/>
      <c r="AM171" s="129"/>
      <c r="AN171" s="129"/>
      <c r="AO171" s="129"/>
      <c r="AP171" s="129"/>
      <c r="AQ171" s="129"/>
      <c r="AR171" s="129"/>
      <c r="AS171" s="129"/>
      <c r="AT171" s="129"/>
      <c r="AU171" s="129"/>
      <c r="AV171" s="129"/>
      <c r="AW171" s="70"/>
    </row>
    <row r="172" spans="34:49" ht="12.75">
      <c r="AH172" s="106"/>
      <c r="AI172" s="129"/>
      <c r="AJ172" s="129"/>
      <c r="AK172" s="129"/>
      <c r="AL172" s="129"/>
      <c r="AM172" s="129"/>
      <c r="AN172" s="129"/>
      <c r="AO172" s="129"/>
      <c r="AP172" s="129"/>
      <c r="AQ172" s="129"/>
      <c r="AR172" s="129"/>
      <c r="AS172" s="129"/>
      <c r="AT172" s="129"/>
      <c r="AU172" s="129"/>
      <c r="AV172" s="129"/>
      <c r="AW172" s="70"/>
    </row>
    <row r="173" spans="34:49" ht="12.75">
      <c r="AH173" s="106"/>
      <c r="AI173" s="129"/>
      <c r="AJ173" s="129"/>
      <c r="AK173" s="129"/>
      <c r="AL173" s="129"/>
      <c r="AM173" s="129"/>
      <c r="AN173" s="129"/>
      <c r="AO173" s="129"/>
      <c r="AP173" s="129"/>
      <c r="AQ173" s="129"/>
      <c r="AR173" s="129"/>
      <c r="AS173" s="129"/>
      <c r="AT173" s="129"/>
      <c r="AU173" s="129"/>
      <c r="AV173" s="129"/>
      <c r="AW173" s="70"/>
    </row>
    <row r="174" spans="34:49" ht="12.75">
      <c r="AH174" s="106"/>
      <c r="AI174" s="129"/>
      <c r="AJ174" s="129"/>
      <c r="AK174" s="129"/>
      <c r="AL174" s="129"/>
      <c r="AM174" s="129"/>
      <c r="AN174" s="129"/>
      <c r="AO174" s="129"/>
      <c r="AP174" s="129"/>
      <c r="AQ174" s="129"/>
      <c r="AR174" s="129"/>
      <c r="AS174" s="129"/>
      <c r="AT174" s="129"/>
      <c r="AU174" s="129"/>
      <c r="AV174" s="129"/>
      <c r="AW174" s="70"/>
    </row>
    <row r="175" spans="34:49" ht="12.75">
      <c r="AH175" s="106"/>
      <c r="AI175" s="129"/>
      <c r="AJ175" s="129"/>
      <c r="AK175" s="129"/>
      <c r="AL175" s="129"/>
      <c r="AM175" s="129"/>
      <c r="AN175" s="129"/>
      <c r="AO175" s="129"/>
      <c r="AP175" s="129"/>
      <c r="AQ175" s="129"/>
      <c r="AR175" s="129"/>
      <c r="AS175" s="129"/>
      <c r="AT175" s="129"/>
      <c r="AU175" s="129"/>
      <c r="AV175" s="129"/>
      <c r="AW175" s="70"/>
    </row>
    <row r="176" spans="34:49" ht="12.75">
      <c r="AH176" s="106"/>
      <c r="AI176" s="129"/>
      <c r="AJ176" s="129"/>
      <c r="AK176" s="129"/>
      <c r="AL176" s="129"/>
      <c r="AM176" s="129"/>
      <c r="AN176" s="129"/>
      <c r="AO176" s="129"/>
      <c r="AP176" s="129"/>
      <c r="AQ176" s="129"/>
      <c r="AR176" s="129"/>
      <c r="AS176" s="129"/>
      <c r="AT176" s="129"/>
      <c r="AU176" s="129"/>
      <c r="AV176" s="129"/>
      <c r="AW176" s="70"/>
    </row>
    <row r="177" spans="34:49" ht="12.75">
      <c r="AH177" s="106"/>
      <c r="AI177" s="129"/>
      <c r="AJ177" s="129"/>
      <c r="AK177" s="129"/>
      <c r="AL177" s="129"/>
      <c r="AM177" s="129"/>
      <c r="AN177" s="129"/>
      <c r="AO177" s="129"/>
      <c r="AP177" s="129"/>
      <c r="AQ177" s="129"/>
      <c r="AR177" s="129"/>
      <c r="AS177" s="129"/>
      <c r="AT177" s="129"/>
      <c r="AU177" s="129"/>
      <c r="AV177" s="129"/>
      <c r="AW177" s="70"/>
    </row>
    <row r="178" spans="34:49" ht="12.75">
      <c r="AH178" s="106"/>
      <c r="AI178" s="129"/>
      <c r="AJ178" s="129"/>
      <c r="AK178" s="129"/>
      <c r="AL178" s="129"/>
      <c r="AM178" s="129"/>
      <c r="AN178" s="129"/>
      <c r="AO178" s="129"/>
      <c r="AP178" s="129"/>
      <c r="AQ178" s="129"/>
      <c r="AR178" s="129"/>
      <c r="AS178" s="129"/>
      <c r="AT178" s="129"/>
      <c r="AU178" s="129"/>
      <c r="AV178" s="129"/>
      <c r="AW178" s="70"/>
    </row>
    <row r="179" spans="34:49" ht="12.75">
      <c r="AH179" s="106"/>
      <c r="AI179" s="129"/>
      <c r="AJ179" s="129"/>
      <c r="AK179" s="129"/>
      <c r="AL179" s="129"/>
      <c r="AM179" s="129"/>
      <c r="AN179" s="129"/>
      <c r="AO179" s="129"/>
      <c r="AP179" s="129"/>
      <c r="AQ179" s="129"/>
      <c r="AR179" s="129"/>
      <c r="AS179" s="129"/>
      <c r="AT179" s="129"/>
      <c r="AU179" s="129"/>
      <c r="AV179" s="129"/>
      <c r="AW179" s="70"/>
    </row>
    <row r="180" spans="34:49" ht="12.75">
      <c r="AH180" s="106"/>
      <c r="AI180" s="129"/>
      <c r="AJ180" s="129"/>
      <c r="AK180" s="129"/>
      <c r="AL180" s="129"/>
      <c r="AM180" s="129"/>
      <c r="AN180" s="129"/>
      <c r="AO180" s="129"/>
      <c r="AP180" s="129"/>
      <c r="AQ180" s="129"/>
      <c r="AR180" s="129"/>
      <c r="AS180" s="129"/>
      <c r="AT180" s="129"/>
      <c r="AU180" s="129"/>
      <c r="AV180" s="129"/>
      <c r="AW180" s="70"/>
    </row>
    <row r="181" spans="34:49" ht="12.75">
      <c r="AH181" s="106"/>
      <c r="AI181" s="129"/>
      <c r="AJ181" s="129"/>
      <c r="AK181" s="129"/>
      <c r="AL181" s="129"/>
      <c r="AM181" s="129"/>
      <c r="AN181" s="129"/>
      <c r="AO181" s="129"/>
      <c r="AP181" s="129"/>
      <c r="AQ181" s="129"/>
      <c r="AR181" s="129"/>
      <c r="AS181" s="129"/>
      <c r="AT181" s="129"/>
      <c r="AU181" s="129"/>
      <c r="AV181" s="129"/>
      <c r="AW181" s="70"/>
    </row>
    <row r="182" spans="34:49" ht="12.75">
      <c r="AH182" s="106"/>
      <c r="AI182" s="129"/>
      <c r="AJ182" s="129"/>
      <c r="AK182" s="129"/>
      <c r="AL182" s="129"/>
      <c r="AM182" s="129"/>
      <c r="AN182" s="129"/>
      <c r="AO182" s="129"/>
      <c r="AP182" s="129"/>
      <c r="AQ182" s="129"/>
      <c r="AR182" s="129"/>
      <c r="AS182" s="129"/>
      <c r="AT182" s="129"/>
      <c r="AU182" s="129"/>
      <c r="AV182" s="129"/>
      <c r="AW182" s="70"/>
    </row>
    <row r="183" spans="34:49" ht="12.75">
      <c r="AH183" s="106"/>
      <c r="AI183" s="129"/>
      <c r="AJ183" s="129"/>
      <c r="AK183" s="129"/>
      <c r="AL183" s="129"/>
      <c r="AM183" s="129"/>
      <c r="AN183" s="129"/>
      <c r="AO183" s="129"/>
      <c r="AP183" s="129"/>
      <c r="AQ183" s="129"/>
      <c r="AR183" s="129"/>
      <c r="AS183" s="129"/>
      <c r="AT183" s="129"/>
      <c r="AU183" s="129"/>
      <c r="AV183" s="129"/>
      <c r="AW183" s="70"/>
    </row>
    <row r="184" spans="34:49" ht="12.75">
      <c r="AH184" s="106"/>
      <c r="AI184" s="129"/>
      <c r="AJ184" s="129"/>
      <c r="AK184" s="129"/>
      <c r="AL184" s="129"/>
      <c r="AM184" s="129"/>
      <c r="AN184" s="129"/>
      <c r="AO184" s="129"/>
      <c r="AP184" s="129"/>
      <c r="AQ184" s="129"/>
      <c r="AR184" s="129"/>
      <c r="AS184" s="129"/>
      <c r="AT184" s="129"/>
      <c r="AU184" s="129"/>
      <c r="AV184" s="129"/>
      <c r="AW184" s="70"/>
    </row>
    <row r="185" spans="34:49" ht="12.75">
      <c r="AH185" s="106"/>
      <c r="AI185" s="129"/>
      <c r="AJ185" s="129"/>
      <c r="AK185" s="129"/>
      <c r="AL185" s="129"/>
      <c r="AM185" s="129"/>
      <c r="AN185" s="129"/>
      <c r="AO185" s="129"/>
      <c r="AP185" s="129"/>
      <c r="AQ185" s="129"/>
      <c r="AR185" s="129"/>
      <c r="AS185" s="129"/>
      <c r="AT185" s="129"/>
      <c r="AU185" s="129"/>
      <c r="AV185" s="129"/>
      <c r="AW185" s="70"/>
    </row>
    <row r="186" spans="34:49" ht="12.75">
      <c r="AH186" s="106"/>
      <c r="AI186" s="129"/>
      <c r="AJ186" s="129"/>
      <c r="AK186" s="129"/>
      <c r="AL186" s="129"/>
      <c r="AM186" s="129"/>
      <c r="AN186" s="129"/>
      <c r="AO186" s="129"/>
      <c r="AP186" s="129"/>
      <c r="AQ186" s="129"/>
      <c r="AR186" s="129"/>
      <c r="AS186" s="129"/>
      <c r="AT186" s="129"/>
      <c r="AU186" s="129"/>
      <c r="AV186" s="129"/>
      <c r="AW186" s="70"/>
    </row>
    <row r="187" spans="34:49" ht="12.75">
      <c r="AH187" s="106"/>
      <c r="AI187" s="129"/>
      <c r="AJ187" s="129"/>
      <c r="AK187" s="129"/>
      <c r="AL187" s="129"/>
      <c r="AM187" s="129"/>
      <c r="AN187" s="129"/>
      <c r="AO187" s="129"/>
      <c r="AP187" s="129"/>
      <c r="AQ187" s="129"/>
      <c r="AR187" s="129"/>
      <c r="AS187" s="129"/>
      <c r="AT187" s="129"/>
      <c r="AU187" s="129"/>
      <c r="AV187" s="129"/>
      <c r="AW187" s="70"/>
    </row>
    <row r="188" spans="34:49" ht="12.75">
      <c r="AH188" s="106"/>
      <c r="AI188" s="129"/>
      <c r="AJ188" s="129"/>
      <c r="AK188" s="129"/>
      <c r="AL188" s="129"/>
      <c r="AM188" s="129"/>
      <c r="AN188" s="129"/>
      <c r="AO188" s="129"/>
      <c r="AP188" s="129"/>
      <c r="AQ188" s="129"/>
      <c r="AR188" s="129"/>
      <c r="AS188" s="129"/>
      <c r="AT188" s="129"/>
      <c r="AU188" s="129"/>
      <c r="AV188" s="129"/>
      <c r="AW188" s="70"/>
    </row>
    <row r="189" spans="34:49" ht="12.75">
      <c r="AH189" s="106"/>
      <c r="AI189" s="129"/>
      <c r="AJ189" s="129"/>
      <c r="AK189" s="129"/>
      <c r="AL189" s="129"/>
      <c r="AM189" s="129"/>
      <c r="AN189" s="129"/>
      <c r="AO189" s="129"/>
      <c r="AP189" s="129"/>
      <c r="AQ189" s="129"/>
      <c r="AR189" s="129"/>
      <c r="AS189" s="129"/>
      <c r="AT189" s="129"/>
      <c r="AU189" s="129"/>
      <c r="AV189" s="129"/>
      <c r="AW189" s="70"/>
    </row>
    <row r="190" spans="34:49" ht="12.75">
      <c r="AH190" s="106"/>
      <c r="AI190" s="129"/>
      <c r="AJ190" s="129"/>
      <c r="AK190" s="129"/>
      <c r="AL190" s="129"/>
      <c r="AM190" s="129"/>
      <c r="AN190" s="129"/>
      <c r="AO190" s="129"/>
      <c r="AP190" s="129"/>
      <c r="AQ190" s="129"/>
      <c r="AR190" s="129"/>
      <c r="AS190" s="129"/>
      <c r="AT190" s="129"/>
      <c r="AU190" s="129"/>
      <c r="AV190" s="129"/>
      <c r="AW190" s="70"/>
    </row>
    <row r="191" spans="34:49" ht="12.75">
      <c r="AH191" s="106"/>
      <c r="AI191" s="129"/>
      <c r="AJ191" s="129"/>
      <c r="AK191" s="129"/>
      <c r="AL191" s="129"/>
      <c r="AM191" s="129"/>
      <c r="AN191" s="129"/>
      <c r="AO191" s="129"/>
      <c r="AP191" s="129"/>
      <c r="AQ191" s="129"/>
      <c r="AR191" s="129"/>
      <c r="AS191" s="129"/>
      <c r="AT191" s="129"/>
      <c r="AU191" s="129"/>
      <c r="AV191" s="129"/>
      <c r="AW191" s="70"/>
    </row>
    <row r="192" spans="34:49" ht="12.75">
      <c r="AH192" s="106"/>
      <c r="AI192" s="129"/>
      <c r="AJ192" s="129"/>
      <c r="AK192" s="129"/>
      <c r="AL192" s="129"/>
      <c r="AM192" s="129"/>
      <c r="AN192" s="129"/>
      <c r="AO192" s="129"/>
      <c r="AP192" s="129"/>
      <c r="AQ192" s="129"/>
      <c r="AR192" s="129"/>
      <c r="AS192" s="129"/>
      <c r="AT192" s="129"/>
      <c r="AU192" s="129"/>
      <c r="AV192" s="129"/>
      <c r="AW192" s="70"/>
    </row>
    <row r="193" spans="34:49" ht="12.75">
      <c r="AH193" s="106"/>
      <c r="AI193" s="129"/>
      <c r="AJ193" s="129"/>
      <c r="AK193" s="129"/>
      <c r="AL193" s="129"/>
      <c r="AM193" s="129"/>
      <c r="AN193" s="129"/>
      <c r="AO193" s="129"/>
      <c r="AP193" s="129"/>
      <c r="AQ193" s="129"/>
      <c r="AR193" s="129"/>
      <c r="AS193" s="129"/>
      <c r="AT193" s="129"/>
      <c r="AU193" s="129"/>
      <c r="AV193" s="129"/>
      <c r="AW193" s="70"/>
    </row>
    <row r="194" spans="34:49" ht="12.75">
      <c r="AH194" s="106"/>
      <c r="AI194" s="129"/>
      <c r="AJ194" s="129"/>
      <c r="AK194" s="129"/>
      <c r="AL194" s="129"/>
      <c r="AM194" s="129"/>
      <c r="AN194" s="129"/>
      <c r="AO194" s="129"/>
      <c r="AP194" s="129"/>
      <c r="AQ194" s="129"/>
      <c r="AR194" s="129"/>
      <c r="AS194" s="129"/>
      <c r="AT194" s="129"/>
      <c r="AU194" s="129"/>
      <c r="AV194" s="129"/>
      <c r="AW194" s="70"/>
    </row>
    <row r="195" spans="34:49" ht="12.75">
      <c r="AH195" s="106"/>
      <c r="AI195" s="129"/>
      <c r="AJ195" s="129"/>
      <c r="AK195" s="129"/>
      <c r="AL195" s="129"/>
      <c r="AM195" s="129"/>
      <c r="AN195" s="129"/>
      <c r="AO195" s="129"/>
      <c r="AP195" s="129"/>
      <c r="AQ195" s="129"/>
      <c r="AR195" s="129"/>
      <c r="AS195" s="129"/>
      <c r="AT195" s="129"/>
      <c r="AU195" s="129"/>
      <c r="AV195" s="129"/>
      <c r="AW195" s="70"/>
    </row>
    <row r="196" spans="34:49" ht="12.75">
      <c r="AH196" s="106"/>
      <c r="AI196" s="129"/>
      <c r="AJ196" s="129"/>
      <c r="AK196" s="129"/>
      <c r="AL196" s="129"/>
      <c r="AM196" s="129"/>
      <c r="AN196" s="129"/>
      <c r="AO196" s="129"/>
      <c r="AP196" s="129"/>
      <c r="AQ196" s="129"/>
      <c r="AR196" s="129"/>
      <c r="AS196" s="129"/>
      <c r="AT196" s="129"/>
      <c r="AU196" s="129"/>
      <c r="AV196" s="129"/>
      <c r="AW196" s="70"/>
    </row>
    <row r="197" spans="34:49" ht="12.75">
      <c r="AH197" s="106"/>
      <c r="AI197" s="129"/>
      <c r="AJ197" s="129"/>
      <c r="AK197" s="129"/>
      <c r="AL197" s="129"/>
      <c r="AM197" s="129"/>
      <c r="AN197" s="129"/>
      <c r="AO197" s="129"/>
      <c r="AP197" s="129"/>
      <c r="AQ197" s="129"/>
      <c r="AR197" s="129"/>
      <c r="AS197" s="129"/>
      <c r="AT197" s="129"/>
      <c r="AU197" s="129"/>
      <c r="AV197" s="129"/>
      <c r="AW197" s="70"/>
    </row>
    <row r="198" spans="34:49" ht="12.75">
      <c r="AH198" s="106"/>
      <c r="AI198" s="129"/>
      <c r="AJ198" s="129"/>
      <c r="AK198" s="129"/>
      <c r="AL198" s="129"/>
      <c r="AM198" s="129"/>
      <c r="AN198" s="129"/>
      <c r="AO198" s="129"/>
      <c r="AP198" s="129"/>
      <c r="AQ198" s="129"/>
      <c r="AR198" s="129"/>
      <c r="AS198" s="129"/>
      <c r="AT198" s="129"/>
      <c r="AU198" s="129"/>
      <c r="AV198" s="129"/>
      <c r="AW198" s="70"/>
    </row>
    <row r="199" spans="34:49" ht="12.75">
      <c r="AH199" s="106"/>
      <c r="AI199" s="129"/>
      <c r="AJ199" s="129"/>
      <c r="AK199" s="129"/>
      <c r="AL199" s="129"/>
      <c r="AM199" s="129"/>
      <c r="AN199" s="129"/>
      <c r="AO199" s="129"/>
      <c r="AP199" s="129"/>
      <c r="AQ199" s="129"/>
      <c r="AR199" s="129"/>
      <c r="AS199" s="129"/>
      <c r="AT199" s="129"/>
      <c r="AU199" s="129"/>
      <c r="AV199" s="129"/>
      <c r="AW199" s="70"/>
    </row>
    <row r="200" spans="34:49" ht="12.75">
      <c r="AH200" s="106"/>
      <c r="AI200" s="129"/>
      <c r="AJ200" s="129"/>
      <c r="AK200" s="129"/>
      <c r="AL200" s="129"/>
      <c r="AM200" s="129"/>
      <c r="AN200" s="129"/>
      <c r="AO200" s="129"/>
      <c r="AP200" s="129"/>
      <c r="AQ200" s="129"/>
      <c r="AR200" s="129"/>
      <c r="AS200" s="129"/>
      <c r="AT200" s="129"/>
      <c r="AU200" s="129"/>
      <c r="AV200" s="129"/>
      <c r="AW200" s="70"/>
    </row>
    <row r="201" spans="34:49" ht="12.75">
      <c r="AH201" s="106"/>
      <c r="AI201" s="129"/>
      <c r="AJ201" s="129"/>
      <c r="AK201" s="129"/>
      <c r="AL201" s="129"/>
      <c r="AM201" s="129"/>
      <c r="AN201" s="129"/>
      <c r="AO201" s="129"/>
      <c r="AP201" s="129"/>
      <c r="AQ201" s="129"/>
      <c r="AR201" s="129"/>
      <c r="AS201" s="129"/>
      <c r="AT201" s="129"/>
      <c r="AU201" s="129"/>
      <c r="AV201" s="129"/>
      <c r="AW201" s="70"/>
    </row>
    <row r="202" spans="34:49" ht="12.75">
      <c r="AH202" s="106"/>
      <c r="AI202" s="129"/>
      <c r="AJ202" s="129"/>
      <c r="AK202" s="129"/>
      <c r="AL202" s="129"/>
      <c r="AM202" s="129"/>
      <c r="AN202" s="129"/>
      <c r="AO202" s="129"/>
      <c r="AP202" s="129"/>
      <c r="AQ202" s="129"/>
      <c r="AR202" s="129"/>
      <c r="AS202" s="129"/>
      <c r="AT202" s="129"/>
      <c r="AU202" s="129"/>
      <c r="AV202" s="129"/>
      <c r="AW202" s="70"/>
    </row>
    <row r="203" spans="34:49" ht="12.75">
      <c r="AH203" s="106"/>
      <c r="AI203" s="129"/>
      <c r="AJ203" s="129"/>
      <c r="AK203" s="129"/>
      <c r="AL203" s="129"/>
      <c r="AM203" s="129"/>
      <c r="AN203" s="129"/>
      <c r="AO203" s="129"/>
      <c r="AP203" s="129"/>
      <c r="AQ203" s="129"/>
      <c r="AR203" s="129"/>
      <c r="AS203" s="129"/>
      <c r="AT203" s="129"/>
      <c r="AU203" s="129"/>
      <c r="AV203" s="129"/>
      <c r="AW203" s="70"/>
    </row>
    <row r="204" spans="34:49" ht="12.75">
      <c r="AH204" s="106"/>
      <c r="AI204" s="129"/>
      <c r="AJ204" s="129"/>
      <c r="AK204" s="129"/>
      <c r="AL204" s="129"/>
      <c r="AM204" s="129"/>
      <c r="AN204" s="129"/>
      <c r="AO204" s="129"/>
      <c r="AP204" s="129"/>
      <c r="AQ204" s="129"/>
      <c r="AR204" s="129"/>
      <c r="AS204" s="129"/>
      <c r="AT204" s="129"/>
      <c r="AU204" s="129"/>
      <c r="AV204" s="129"/>
      <c r="AW204" s="70"/>
    </row>
    <row r="205" spans="34:49" ht="12.75">
      <c r="AH205" s="106"/>
      <c r="AI205" s="129"/>
      <c r="AJ205" s="129"/>
      <c r="AK205" s="129"/>
      <c r="AL205" s="129"/>
      <c r="AM205" s="129"/>
      <c r="AN205" s="129"/>
      <c r="AO205" s="129"/>
      <c r="AP205" s="129"/>
      <c r="AQ205" s="129"/>
      <c r="AR205" s="129"/>
      <c r="AS205" s="129"/>
      <c r="AT205" s="129"/>
      <c r="AU205" s="129"/>
      <c r="AV205" s="129"/>
      <c r="AW205" s="70"/>
    </row>
    <row r="206" spans="34:49" ht="12.75">
      <c r="AH206" s="106"/>
      <c r="AI206" s="129"/>
      <c r="AJ206" s="129"/>
      <c r="AK206" s="129"/>
      <c r="AL206" s="129"/>
      <c r="AM206" s="129"/>
      <c r="AN206" s="129"/>
      <c r="AO206" s="129"/>
      <c r="AP206" s="129"/>
      <c r="AQ206" s="129"/>
      <c r="AR206" s="129"/>
      <c r="AS206" s="129"/>
      <c r="AT206" s="129"/>
      <c r="AU206" s="129"/>
      <c r="AV206" s="129"/>
      <c r="AW206" s="70"/>
    </row>
    <row r="207" spans="34:49" ht="12.75">
      <c r="AH207" s="106"/>
      <c r="AI207" s="129"/>
      <c r="AJ207" s="129"/>
      <c r="AK207" s="129"/>
      <c r="AL207" s="129"/>
      <c r="AM207" s="129"/>
      <c r="AN207" s="129"/>
      <c r="AO207" s="129"/>
      <c r="AP207" s="129"/>
      <c r="AQ207" s="129"/>
      <c r="AR207" s="129"/>
      <c r="AS207" s="129"/>
      <c r="AT207" s="129"/>
      <c r="AU207" s="129"/>
      <c r="AV207" s="129"/>
      <c r="AW207" s="70"/>
    </row>
    <row r="208" spans="34:49" ht="12.75">
      <c r="AH208" s="106"/>
      <c r="AI208" s="129"/>
      <c r="AJ208" s="129"/>
      <c r="AK208" s="129"/>
      <c r="AL208" s="129"/>
      <c r="AM208" s="129"/>
      <c r="AN208" s="129"/>
      <c r="AO208" s="129"/>
      <c r="AP208" s="129"/>
      <c r="AQ208" s="129"/>
      <c r="AR208" s="129"/>
      <c r="AS208" s="129"/>
      <c r="AT208" s="129"/>
      <c r="AU208" s="129"/>
      <c r="AV208" s="129"/>
      <c r="AW208" s="70"/>
    </row>
    <row r="209" spans="34:49" ht="12.75">
      <c r="AH209" s="106"/>
      <c r="AI209" s="129"/>
      <c r="AJ209" s="129"/>
      <c r="AK209" s="129"/>
      <c r="AL209" s="129"/>
      <c r="AM209" s="129"/>
      <c r="AN209" s="129"/>
      <c r="AO209" s="129"/>
      <c r="AP209" s="129"/>
      <c r="AQ209" s="129"/>
      <c r="AR209" s="129"/>
      <c r="AS209" s="129"/>
      <c r="AT209" s="129"/>
      <c r="AU209" s="129"/>
      <c r="AV209" s="129"/>
      <c r="AW209" s="70"/>
    </row>
    <row r="210" spans="34:49" ht="12.75">
      <c r="AH210" s="106"/>
      <c r="AI210" s="129"/>
      <c r="AJ210" s="129"/>
      <c r="AK210" s="129"/>
      <c r="AL210" s="129"/>
      <c r="AM210" s="129"/>
      <c r="AN210" s="129"/>
      <c r="AO210" s="129"/>
      <c r="AP210" s="129"/>
      <c r="AQ210" s="129"/>
      <c r="AR210" s="129"/>
      <c r="AS210" s="129"/>
      <c r="AT210" s="129"/>
      <c r="AU210" s="129"/>
      <c r="AV210" s="129"/>
      <c r="AW210" s="70"/>
    </row>
    <row r="211" spans="34:49" ht="12.75">
      <c r="AH211" s="106"/>
      <c r="AI211" s="129"/>
      <c r="AJ211" s="129"/>
      <c r="AK211" s="129"/>
      <c r="AL211" s="129"/>
      <c r="AM211" s="129"/>
      <c r="AN211" s="129"/>
      <c r="AO211" s="129"/>
      <c r="AP211" s="129"/>
      <c r="AQ211" s="129"/>
      <c r="AR211" s="129"/>
      <c r="AS211" s="129"/>
      <c r="AT211" s="129"/>
      <c r="AU211" s="129"/>
      <c r="AV211" s="129"/>
      <c r="AW211" s="70"/>
    </row>
    <row r="212" spans="34:49" ht="12.75">
      <c r="AH212" s="106"/>
      <c r="AI212" s="129"/>
      <c r="AJ212" s="129"/>
      <c r="AK212" s="129"/>
      <c r="AL212" s="129"/>
      <c r="AM212" s="129"/>
      <c r="AN212" s="129"/>
      <c r="AO212" s="129"/>
      <c r="AP212" s="129"/>
      <c r="AQ212" s="129"/>
      <c r="AR212" s="129"/>
      <c r="AS212" s="129"/>
      <c r="AT212" s="129"/>
      <c r="AU212" s="129"/>
      <c r="AV212" s="129"/>
      <c r="AW212" s="70"/>
    </row>
    <row r="213" spans="34:49" ht="12.75">
      <c r="AH213" s="106"/>
      <c r="AI213" s="129"/>
      <c r="AJ213" s="129"/>
      <c r="AK213" s="129"/>
      <c r="AL213" s="129"/>
      <c r="AM213" s="129"/>
      <c r="AN213" s="129"/>
      <c r="AO213" s="129"/>
      <c r="AP213" s="129"/>
      <c r="AQ213" s="129"/>
      <c r="AR213" s="129"/>
      <c r="AS213" s="129"/>
      <c r="AT213" s="129"/>
      <c r="AU213" s="129"/>
      <c r="AV213" s="129"/>
      <c r="AW213" s="70"/>
    </row>
    <row r="214" spans="34:49" ht="12.75">
      <c r="AH214" s="106"/>
      <c r="AI214" s="129"/>
      <c r="AJ214" s="129"/>
      <c r="AK214" s="129"/>
      <c r="AL214" s="129"/>
      <c r="AM214" s="129"/>
      <c r="AN214" s="129"/>
      <c r="AO214" s="129"/>
      <c r="AP214" s="129"/>
      <c r="AQ214" s="129"/>
      <c r="AR214" s="129"/>
      <c r="AS214" s="129"/>
      <c r="AT214" s="129"/>
      <c r="AU214" s="129"/>
      <c r="AV214" s="129"/>
      <c r="AW214" s="70"/>
    </row>
    <row r="215" spans="34:49" ht="12.75">
      <c r="AH215" s="106"/>
      <c r="AI215" s="129"/>
      <c r="AJ215" s="129"/>
      <c r="AK215" s="129"/>
      <c r="AL215" s="129"/>
      <c r="AM215" s="129"/>
      <c r="AN215" s="129"/>
      <c r="AO215" s="129"/>
      <c r="AP215" s="129"/>
      <c r="AQ215" s="129"/>
      <c r="AR215" s="129"/>
      <c r="AS215" s="129"/>
      <c r="AT215" s="129"/>
      <c r="AU215" s="129"/>
      <c r="AV215" s="129"/>
      <c r="AW215" s="70"/>
    </row>
    <row r="216" spans="34:49" ht="12.75">
      <c r="AH216" s="106"/>
      <c r="AI216" s="129"/>
      <c r="AJ216" s="129"/>
      <c r="AK216" s="129"/>
      <c r="AL216" s="129"/>
      <c r="AM216" s="129"/>
      <c r="AN216" s="129"/>
      <c r="AO216" s="129"/>
      <c r="AP216" s="129"/>
      <c r="AQ216" s="129"/>
      <c r="AR216" s="129"/>
      <c r="AS216" s="129"/>
      <c r="AT216" s="129"/>
      <c r="AU216" s="129"/>
      <c r="AV216" s="129"/>
      <c r="AW216" s="70"/>
    </row>
    <row r="217" spans="34:49" ht="12.75">
      <c r="AH217" s="106"/>
      <c r="AI217" s="129"/>
      <c r="AJ217" s="129"/>
      <c r="AK217" s="129"/>
      <c r="AL217" s="129"/>
      <c r="AM217" s="129"/>
      <c r="AN217" s="129"/>
      <c r="AO217" s="129"/>
      <c r="AP217" s="129"/>
      <c r="AQ217" s="129"/>
      <c r="AR217" s="129"/>
      <c r="AS217" s="129"/>
      <c r="AT217" s="129"/>
      <c r="AU217" s="129"/>
      <c r="AV217" s="129"/>
      <c r="AW217" s="70"/>
    </row>
    <row r="218" spans="34:49" ht="12.75">
      <c r="AH218" s="106"/>
      <c r="AI218" s="129"/>
      <c r="AJ218" s="129"/>
      <c r="AK218" s="129"/>
      <c r="AL218" s="129"/>
      <c r="AM218" s="129"/>
      <c r="AN218" s="129"/>
      <c r="AO218" s="129"/>
      <c r="AP218" s="129"/>
      <c r="AQ218" s="129"/>
      <c r="AR218" s="129"/>
      <c r="AS218" s="129"/>
      <c r="AT218" s="129"/>
      <c r="AU218" s="129"/>
      <c r="AV218" s="129"/>
      <c r="AW218" s="70"/>
    </row>
    <row r="219" spans="34:49" ht="12.75">
      <c r="AH219" s="106"/>
      <c r="AI219" s="129"/>
      <c r="AJ219" s="129"/>
      <c r="AK219" s="129"/>
      <c r="AL219" s="129"/>
      <c r="AM219" s="129"/>
      <c r="AN219" s="129"/>
      <c r="AO219" s="129"/>
      <c r="AP219" s="129"/>
      <c r="AQ219" s="129"/>
      <c r="AR219" s="129"/>
      <c r="AS219" s="129"/>
      <c r="AT219" s="129"/>
      <c r="AU219" s="129"/>
      <c r="AV219" s="129"/>
      <c r="AW219" s="70"/>
    </row>
    <row r="220" spans="34:49" ht="12.75">
      <c r="AH220" s="106"/>
      <c r="AI220" s="129"/>
      <c r="AJ220" s="129"/>
      <c r="AK220" s="129"/>
      <c r="AL220" s="129"/>
      <c r="AM220" s="129"/>
      <c r="AN220" s="129"/>
      <c r="AO220" s="129"/>
      <c r="AP220" s="129"/>
      <c r="AQ220" s="129"/>
      <c r="AR220" s="129"/>
      <c r="AS220" s="129"/>
      <c r="AT220" s="129"/>
      <c r="AU220" s="129"/>
      <c r="AV220" s="129"/>
      <c r="AW220" s="70"/>
    </row>
    <row r="221" spans="34:49" ht="12.75">
      <c r="AH221" s="106"/>
      <c r="AI221" s="129"/>
      <c r="AJ221" s="129"/>
      <c r="AK221" s="129"/>
      <c r="AL221" s="129"/>
      <c r="AM221" s="129"/>
      <c r="AN221" s="129"/>
      <c r="AO221" s="129"/>
      <c r="AP221" s="129"/>
      <c r="AQ221" s="129"/>
      <c r="AR221" s="129"/>
      <c r="AS221" s="129"/>
      <c r="AT221" s="129"/>
      <c r="AU221" s="129"/>
      <c r="AV221" s="129"/>
      <c r="AW221" s="70"/>
    </row>
    <row r="222" spans="34:49" ht="12.75">
      <c r="AH222" s="106"/>
      <c r="AI222" s="129"/>
      <c r="AJ222" s="129"/>
      <c r="AK222" s="129"/>
      <c r="AL222" s="129"/>
      <c r="AM222" s="129"/>
      <c r="AN222" s="129"/>
      <c r="AO222" s="129"/>
      <c r="AP222" s="129"/>
      <c r="AQ222" s="129"/>
      <c r="AR222" s="129"/>
      <c r="AS222" s="129"/>
      <c r="AT222" s="129"/>
      <c r="AU222" s="129"/>
      <c r="AV222" s="129"/>
      <c r="AW222" s="70"/>
    </row>
    <row r="223" spans="34:49" ht="12.75">
      <c r="AH223" s="106"/>
      <c r="AI223" s="129"/>
      <c r="AJ223" s="129"/>
      <c r="AK223" s="129"/>
      <c r="AL223" s="129"/>
      <c r="AM223" s="129"/>
      <c r="AN223" s="129"/>
      <c r="AO223" s="129"/>
      <c r="AP223" s="129"/>
      <c r="AQ223" s="129"/>
      <c r="AR223" s="129"/>
      <c r="AS223" s="129"/>
      <c r="AT223" s="129"/>
      <c r="AU223" s="129"/>
      <c r="AV223" s="129"/>
      <c r="AW223" s="70"/>
    </row>
    <row r="224" spans="34:49" ht="12.75">
      <c r="AH224" s="106"/>
      <c r="AI224" s="129"/>
      <c r="AJ224" s="129"/>
      <c r="AK224" s="129"/>
      <c r="AL224" s="129"/>
      <c r="AM224" s="129"/>
      <c r="AN224" s="129"/>
      <c r="AO224" s="129"/>
      <c r="AP224" s="129"/>
      <c r="AQ224" s="129"/>
      <c r="AR224" s="129"/>
      <c r="AS224" s="129"/>
      <c r="AT224" s="129"/>
      <c r="AU224" s="129"/>
      <c r="AV224" s="129"/>
      <c r="AW224" s="70"/>
    </row>
    <row r="225" spans="34:49" ht="12.75">
      <c r="AH225" s="106"/>
      <c r="AI225" s="129"/>
      <c r="AJ225" s="129"/>
      <c r="AK225" s="129"/>
      <c r="AL225" s="129"/>
      <c r="AM225" s="129"/>
      <c r="AN225" s="129"/>
      <c r="AO225" s="129"/>
      <c r="AP225" s="129"/>
      <c r="AQ225" s="129"/>
      <c r="AR225" s="129"/>
      <c r="AS225" s="129"/>
      <c r="AT225" s="129"/>
      <c r="AU225" s="129"/>
      <c r="AV225" s="129"/>
      <c r="AW225" s="70"/>
    </row>
    <row r="226" spans="34:49" ht="12.75">
      <c r="AH226" s="106"/>
      <c r="AI226" s="129"/>
      <c r="AJ226" s="129"/>
      <c r="AK226" s="129"/>
      <c r="AL226" s="129"/>
      <c r="AM226" s="129"/>
      <c r="AN226" s="129"/>
      <c r="AO226" s="129"/>
      <c r="AP226" s="129"/>
      <c r="AQ226" s="129"/>
      <c r="AR226" s="129"/>
      <c r="AS226" s="129"/>
      <c r="AT226" s="129"/>
      <c r="AU226" s="129"/>
      <c r="AV226" s="129"/>
      <c r="AW226" s="70"/>
    </row>
    <row r="227" spans="34:49" ht="12.75">
      <c r="AH227" s="106"/>
      <c r="AI227" s="129"/>
      <c r="AJ227" s="129"/>
      <c r="AK227" s="129"/>
      <c r="AL227" s="129"/>
      <c r="AM227" s="129"/>
      <c r="AN227" s="129"/>
      <c r="AO227" s="129"/>
      <c r="AP227" s="129"/>
      <c r="AQ227" s="129"/>
      <c r="AR227" s="129"/>
      <c r="AS227" s="129"/>
      <c r="AT227" s="129"/>
      <c r="AU227" s="129"/>
      <c r="AV227" s="129"/>
      <c r="AW227" s="70"/>
    </row>
    <row r="228" spans="34:49" ht="12.75">
      <c r="AH228" s="106"/>
      <c r="AI228" s="129"/>
      <c r="AJ228" s="129"/>
      <c r="AK228" s="129"/>
      <c r="AL228" s="129"/>
      <c r="AM228" s="129"/>
      <c r="AN228" s="129"/>
      <c r="AO228" s="129"/>
      <c r="AP228" s="129"/>
      <c r="AQ228" s="129"/>
      <c r="AR228" s="129"/>
      <c r="AS228" s="129"/>
      <c r="AT228" s="129"/>
      <c r="AU228" s="129"/>
      <c r="AV228" s="129"/>
      <c r="AW228" s="70"/>
    </row>
    <row r="229" spans="34:49" ht="12.75">
      <c r="AH229" s="106"/>
      <c r="AI229" s="129"/>
      <c r="AJ229" s="129"/>
      <c r="AK229" s="129"/>
      <c r="AL229" s="129"/>
      <c r="AM229" s="129"/>
      <c r="AN229" s="129"/>
      <c r="AO229" s="129"/>
      <c r="AP229" s="129"/>
      <c r="AQ229" s="129"/>
      <c r="AR229" s="129"/>
      <c r="AS229" s="129"/>
      <c r="AT229" s="129"/>
      <c r="AU229" s="129"/>
      <c r="AV229" s="129"/>
      <c r="AW229" s="70"/>
    </row>
    <row r="230" spans="34:49" ht="12.75">
      <c r="AH230" s="106"/>
      <c r="AI230" s="129"/>
      <c r="AJ230" s="129"/>
      <c r="AK230" s="129"/>
      <c r="AL230" s="129"/>
      <c r="AM230" s="129"/>
      <c r="AN230" s="129"/>
      <c r="AO230" s="129"/>
      <c r="AP230" s="129"/>
      <c r="AQ230" s="129"/>
      <c r="AR230" s="129"/>
      <c r="AS230" s="129"/>
      <c r="AT230" s="129"/>
      <c r="AU230" s="129"/>
      <c r="AV230" s="129"/>
      <c r="AW230" s="70"/>
    </row>
    <row r="231" spans="34:49" ht="12.75">
      <c r="AH231" s="106"/>
      <c r="AI231" s="129"/>
      <c r="AJ231" s="129"/>
      <c r="AK231" s="129"/>
      <c r="AL231" s="129"/>
      <c r="AM231" s="129"/>
      <c r="AN231" s="129"/>
      <c r="AO231" s="129"/>
      <c r="AP231" s="129"/>
      <c r="AQ231" s="129"/>
      <c r="AR231" s="129"/>
      <c r="AS231" s="129"/>
      <c r="AT231" s="129"/>
      <c r="AU231" s="129"/>
      <c r="AV231" s="129"/>
      <c r="AW231" s="70"/>
    </row>
    <row r="232" spans="34:49" ht="12.75">
      <c r="AH232" s="106"/>
      <c r="AI232" s="129"/>
      <c r="AJ232" s="129"/>
      <c r="AK232" s="129"/>
      <c r="AL232" s="129"/>
      <c r="AM232" s="129"/>
      <c r="AN232" s="129"/>
      <c r="AO232" s="129"/>
      <c r="AP232" s="129"/>
      <c r="AQ232" s="129"/>
      <c r="AR232" s="129"/>
      <c r="AS232" s="129"/>
      <c r="AT232" s="129"/>
      <c r="AU232" s="129"/>
      <c r="AV232" s="129"/>
      <c r="AW232" s="70"/>
    </row>
    <row r="233" spans="34:49" ht="12.75">
      <c r="AH233" s="106"/>
      <c r="AI233" s="129"/>
      <c r="AJ233" s="129"/>
      <c r="AK233" s="129"/>
      <c r="AL233" s="129"/>
      <c r="AM233" s="129"/>
      <c r="AN233" s="129"/>
      <c r="AO233" s="129"/>
      <c r="AP233" s="129"/>
      <c r="AQ233" s="129"/>
      <c r="AR233" s="129"/>
      <c r="AS233" s="129"/>
      <c r="AT233" s="129"/>
      <c r="AU233" s="129"/>
      <c r="AV233" s="129"/>
      <c r="AW233" s="70"/>
    </row>
    <row r="234" spans="34:49" ht="12.75">
      <c r="AH234" s="106"/>
      <c r="AI234" s="129"/>
      <c r="AJ234" s="129"/>
      <c r="AK234" s="129"/>
      <c r="AL234" s="129"/>
      <c r="AM234" s="129"/>
      <c r="AN234" s="129"/>
      <c r="AO234" s="129"/>
      <c r="AP234" s="129"/>
      <c r="AQ234" s="129"/>
      <c r="AR234" s="129"/>
      <c r="AS234" s="129"/>
      <c r="AT234" s="129"/>
      <c r="AU234" s="129"/>
      <c r="AV234" s="129"/>
      <c r="AW234" s="70"/>
    </row>
    <row r="235" spans="34:49" ht="12.75">
      <c r="AH235" s="106"/>
      <c r="AI235" s="129"/>
      <c r="AJ235" s="129"/>
      <c r="AK235" s="129"/>
      <c r="AL235" s="129"/>
      <c r="AM235" s="129"/>
      <c r="AN235" s="129"/>
      <c r="AO235" s="129"/>
      <c r="AP235" s="129"/>
      <c r="AQ235" s="129"/>
      <c r="AR235" s="129"/>
      <c r="AS235" s="129"/>
      <c r="AT235" s="129"/>
      <c r="AU235" s="129"/>
      <c r="AV235" s="129"/>
      <c r="AW235" s="70"/>
    </row>
    <row r="236" spans="34:49" ht="12.75">
      <c r="AH236" s="106"/>
      <c r="AI236" s="129"/>
      <c r="AJ236" s="129"/>
      <c r="AK236" s="129"/>
      <c r="AL236" s="129"/>
      <c r="AM236" s="129"/>
      <c r="AN236" s="129"/>
      <c r="AO236" s="129"/>
      <c r="AP236" s="129"/>
      <c r="AQ236" s="129"/>
      <c r="AR236" s="129"/>
      <c r="AS236" s="129"/>
      <c r="AT236" s="129"/>
      <c r="AU236" s="129"/>
      <c r="AV236" s="129"/>
      <c r="AW236" s="70"/>
    </row>
    <row r="237" spans="34:49" ht="12.75">
      <c r="AH237" s="106"/>
      <c r="AI237" s="129"/>
      <c r="AJ237" s="129"/>
      <c r="AK237" s="129"/>
      <c r="AL237" s="129"/>
      <c r="AM237" s="129"/>
      <c r="AN237" s="129"/>
      <c r="AO237" s="129"/>
      <c r="AP237" s="129"/>
      <c r="AQ237" s="129"/>
      <c r="AR237" s="129"/>
      <c r="AS237" s="129"/>
      <c r="AT237" s="129"/>
      <c r="AU237" s="129"/>
      <c r="AV237" s="129"/>
      <c r="AW237" s="70"/>
    </row>
    <row r="238" spans="34:49" ht="12.75">
      <c r="AH238" s="106"/>
      <c r="AI238" s="129"/>
      <c r="AJ238" s="129"/>
      <c r="AK238" s="129"/>
      <c r="AL238" s="129"/>
      <c r="AM238" s="129"/>
      <c r="AN238" s="129"/>
      <c r="AO238" s="129"/>
      <c r="AP238" s="129"/>
      <c r="AQ238" s="129"/>
      <c r="AR238" s="129"/>
      <c r="AS238" s="129"/>
      <c r="AT238" s="129"/>
      <c r="AU238" s="129"/>
      <c r="AV238" s="129"/>
      <c r="AW238" s="70"/>
    </row>
    <row r="239" spans="34:49" ht="12.75">
      <c r="AH239" s="106"/>
      <c r="AI239" s="129"/>
      <c r="AJ239" s="129"/>
      <c r="AK239" s="129"/>
      <c r="AL239" s="129"/>
      <c r="AM239" s="129"/>
      <c r="AN239" s="129"/>
      <c r="AO239" s="129"/>
      <c r="AP239" s="129"/>
      <c r="AQ239" s="129"/>
      <c r="AR239" s="129"/>
      <c r="AS239" s="129"/>
      <c r="AT239" s="129"/>
      <c r="AU239" s="129"/>
      <c r="AV239" s="129"/>
      <c r="AW239" s="70"/>
    </row>
    <row r="240" spans="34:49" ht="12.75">
      <c r="AH240" s="106"/>
      <c r="AI240" s="129"/>
      <c r="AJ240" s="129"/>
      <c r="AK240" s="129"/>
      <c r="AL240" s="129"/>
      <c r="AM240" s="129"/>
      <c r="AN240" s="129"/>
      <c r="AO240" s="129"/>
      <c r="AP240" s="129"/>
      <c r="AQ240" s="129"/>
      <c r="AR240" s="129"/>
      <c r="AS240" s="129"/>
      <c r="AT240" s="129"/>
      <c r="AU240" s="129"/>
      <c r="AV240" s="129"/>
      <c r="AW240" s="70"/>
    </row>
    <row r="241" spans="34:49" ht="12.75">
      <c r="AH241" s="106"/>
      <c r="AI241" s="129"/>
      <c r="AJ241" s="129"/>
      <c r="AK241" s="129"/>
      <c r="AL241" s="129"/>
      <c r="AM241" s="129"/>
      <c r="AN241" s="129"/>
      <c r="AO241" s="129"/>
      <c r="AP241" s="129"/>
      <c r="AQ241" s="129"/>
      <c r="AR241" s="129"/>
      <c r="AS241" s="129"/>
      <c r="AT241" s="129"/>
      <c r="AU241" s="129"/>
      <c r="AV241" s="129"/>
      <c r="AW241" s="70"/>
    </row>
    <row r="242" spans="34:49" ht="12.75">
      <c r="AH242" s="106"/>
      <c r="AI242" s="129"/>
      <c r="AJ242" s="129"/>
      <c r="AK242" s="129"/>
      <c r="AL242" s="129"/>
      <c r="AM242" s="129"/>
      <c r="AN242" s="129"/>
      <c r="AO242" s="129"/>
      <c r="AP242" s="129"/>
      <c r="AQ242" s="129"/>
      <c r="AR242" s="129"/>
      <c r="AS242" s="129"/>
      <c r="AT242" s="129"/>
      <c r="AU242" s="129"/>
      <c r="AV242" s="129"/>
      <c r="AW242" s="70"/>
    </row>
    <row r="243" spans="34:49" ht="12.75">
      <c r="AH243" s="106"/>
      <c r="AI243" s="129"/>
      <c r="AJ243" s="129"/>
      <c r="AK243" s="129"/>
      <c r="AL243" s="129"/>
      <c r="AM243" s="129"/>
      <c r="AN243" s="129"/>
      <c r="AO243" s="129"/>
      <c r="AP243" s="129"/>
      <c r="AQ243" s="129"/>
      <c r="AR243" s="129"/>
      <c r="AS243" s="129"/>
      <c r="AT243" s="129"/>
      <c r="AU243" s="129"/>
      <c r="AV243" s="129"/>
      <c r="AW243" s="70"/>
    </row>
    <row r="244" spans="34:49" ht="12.75">
      <c r="AH244" s="106"/>
      <c r="AI244" s="129"/>
      <c r="AJ244" s="129"/>
      <c r="AK244" s="129"/>
      <c r="AL244" s="129"/>
      <c r="AM244" s="129"/>
      <c r="AN244" s="129"/>
      <c r="AO244" s="129"/>
      <c r="AP244" s="129"/>
      <c r="AQ244" s="129"/>
      <c r="AR244" s="129"/>
      <c r="AS244" s="129"/>
      <c r="AT244" s="129"/>
      <c r="AU244" s="129"/>
      <c r="AV244" s="129"/>
      <c r="AW244" s="70"/>
    </row>
    <row r="245" spans="34:49" ht="12.75">
      <c r="AH245" s="106"/>
      <c r="AI245" s="129"/>
      <c r="AJ245" s="129"/>
      <c r="AK245" s="129"/>
      <c r="AL245" s="129"/>
      <c r="AM245" s="129"/>
      <c r="AN245" s="129"/>
      <c r="AO245" s="129"/>
      <c r="AP245" s="129"/>
      <c r="AQ245" s="129"/>
      <c r="AR245" s="129"/>
      <c r="AS245" s="129"/>
      <c r="AT245" s="129"/>
      <c r="AU245" s="129"/>
      <c r="AV245" s="129"/>
      <c r="AW245" s="70"/>
    </row>
    <row r="246" spans="34:49" ht="12.75">
      <c r="AH246" s="106"/>
      <c r="AI246" s="129"/>
      <c r="AJ246" s="129"/>
      <c r="AK246" s="129"/>
      <c r="AL246" s="129"/>
      <c r="AM246" s="129"/>
      <c r="AN246" s="129"/>
      <c r="AO246" s="129"/>
      <c r="AP246" s="129"/>
      <c r="AQ246" s="129"/>
      <c r="AR246" s="129"/>
      <c r="AS246" s="129"/>
      <c r="AT246" s="129"/>
      <c r="AU246" s="129"/>
      <c r="AV246" s="129"/>
      <c r="AW246" s="70"/>
    </row>
    <row r="247" spans="34:49" ht="12.75">
      <c r="AH247" s="106"/>
      <c r="AI247" s="129"/>
      <c r="AJ247" s="129"/>
      <c r="AK247" s="129"/>
      <c r="AL247" s="129"/>
      <c r="AM247" s="129"/>
      <c r="AN247" s="129"/>
      <c r="AO247" s="129"/>
      <c r="AP247" s="129"/>
      <c r="AQ247" s="129"/>
      <c r="AR247" s="129"/>
      <c r="AS247" s="129"/>
      <c r="AT247" s="129"/>
      <c r="AU247" s="129"/>
      <c r="AV247" s="129"/>
      <c r="AW247" s="70"/>
    </row>
    <row r="248" spans="34:49" ht="12.75">
      <c r="AH248" s="106"/>
      <c r="AI248" s="129"/>
      <c r="AJ248" s="129"/>
      <c r="AK248" s="129"/>
      <c r="AL248" s="129"/>
      <c r="AM248" s="129"/>
      <c r="AN248" s="129"/>
      <c r="AO248" s="129"/>
      <c r="AP248" s="129"/>
      <c r="AQ248" s="129"/>
      <c r="AR248" s="129"/>
      <c r="AS248" s="129"/>
      <c r="AT248" s="129"/>
      <c r="AU248" s="129"/>
      <c r="AV248" s="129"/>
      <c r="AW248" s="70"/>
    </row>
    <row r="249" spans="34:49" ht="12.75">
      <c r="AH249" s="106"/>
      <c r="AI249" s="129"/>
      <c r="AJ249" s="129"/>
      <c r="AK249" s="129"/>
      <c r="AL249" s="129"/>
      <c r="AM249" s="129"/>
      <c r="AN249" s="129"/>
      <c r="AO249" s="129"/>
      <c r="AP249" s="129"/>
      <c r="AQ249" s="129"/>
      <c r="AR249" s="129"/>
      <c r="AS249" s="129"/>
      <c r="AT249" s="129"/>
      <c r="AU249" s="129"/>
      <c r="AV249" s="129"/>
      <c r="AW249" s="70"/>
    </row>
    <row r="250" spans="34:49" ht="12.75">
      <c r="AH250" s="106"/>
      <c r="AI250" s="129"/>
      <c r="AJ250" s="129"/>
      <c r="AK250" s="129"/>
      <c r="AL250" s="129"/>
      <c r="AM250" s="129"/>
      <c r="AN250" s="129"/>
      <c r="AO250" s="129"/>
      <c r="AP250" s="129"/>
      <c r="AQ250" s="129"/>
      <c r="AR250" s="129"/>
      <c r="AS250" s="129"/>
      <c r="AT250" s="129"/>
      <c r="AU250" s="129"/>
      <c r="AV250" s="129"/>
      <c r="AW250" s="70"/>
    </row>
    <row r="251" spans="34:49" ht="12.75">
      <c r="AH251" s="106"/>
      <c r="AI251" s="129"/>
      <c r="AJ251" s="129"/>
      <c r="AK251" s="129"/>
      <c r="AL251" s="129"/>
      <c r="AM251" s="129"/>
      <c r="AN251" s="129"/>
      <c r="AO251" s="129"/>
      <c r="AP251" s="129"/>
      <c r="AQ251" s="129"/>
      <c r="AR251" s="129"/>
      <c r="AS251" s="129"/>
      <c r="AT251" s="129"/>
      <c r="AU251" s="129"/>
      <c r="AV251" s="129"/>
      <c r="AW251" s="70"/>
    </row>
    <row r="252" spans="34:49" ht="12.75">
      <c r="AH252" s="106"/>
      <c r="AI252" s="129"/>
      <c r="AJ252" s="129"/>
      <c r="AK252" s="129"/>
      <c r="AL252" s="129"/>
      <c r="AM252" s="129"/>
      <c r="AN252" s="129"/>
      <c r="AO252" s="129"/>
      <c r="AP252" s="129"/>
      <c r="AQ252" s="129"/>
      <c r="AR252" s="129"/>
      <c r="AS252" s="129"/>
      <c r="AT252" s="129"/>
      <c r="AU252" s="129"/>
      <c r="AV252" s="129"/>
      <c r="AW252" s="70"/>
    </row>
    <row r="253" spans="34:49" ht="12.75">
      <c r="AH253" s="106"/>
      <c r="AI253" s="129"/>
      <c r="AJ253" s="129"/>
      <c r="AK253" s="129"/>
      <c r="AL253" s="129"/>
      <c r="AM253" s="129"/>
      <c r="AN253" s="129"/>
      <c r="AO253" s="129"/>
      <c r="AP253" s="129"/>
      <c r="AQ253" s="129"/>
      <c r="AR253" s="129"/>
      <c r="AS253" s="129"/>
      <c r="AT253" s="129"/>
      <c r="AU253" s="129"/>
      <c r="AV253" s="129"/>
      <c r="AW253" s="70"/>
    </row>
    <row r="254" spans="34:49" ht="12.75">
      <c r="AH254" s="106"/>
      <c r="AI254" s="129"/>
      <c r="AJ254" s="129"/>
      <c r="AK254" s="129"/>
      <c r="AL254" s="129"/>
      <c r="AM254" s="129"/>
      <c r="AN254" s="129"/>
      <c r="AO254" s="129"/>
      <c r="AP254" s="129"/>
      <c r="AQ254" s="129"/>
      <c r="AR254" s="129"/>
      <c r="AS254" s="129"/>
      <c r="AT254" s="129"/>
      <c r="AU254" s="129"/>
      <c r="AV254" s="129"/>
      <c r="AW254" s="70"/>
    </row>
    <row r="255" spans="34:49" ht="12.75">
      <c r="AH255" s="106"/>
      <c r="AI255" s="129"/>
      <c r="AJ255" s="129"/>
      <c r="AK255" s="129"/>
      <c r="AL255" s="129"/>
      <c r="AM255" s="129"/>
      <c r="AN255" s="129"/>
      <c r="AO255" s="129"/>
      <c r="AP255" s="129"/>
      <c r="AQ255" s="129"/>
      <c r="AR255" s="129"/>
      <c r="AS255" s="129"/>
      <c r="AT255" s="129"/>
      <c r="AU255" s="129"/>
      <c r="AV255" s="129"/>
      <c r="AW255" s="70"/>
    </row>
    <row r="256" spans="34:49" ht="12.75">
      <c r="AH256" s="106"/>
      <c r="AI256" s="129"/>
      <c r="AJ256" s="129"/>
      <c r="AK256" s="129"/>
      <c r="AL256" s="129"/>
      <c r="AM256" s="129"/>
      <c r="AN256" s="129"/>
      <c r="AO256" s="129"/>
      <c r="AP256" s="129"/>
      <c r="AQ256" s="129"/>
      <c r="AR256" s="129"/>
      <c r="AS256" s="129"/>
      <c r="AT256" s="129"/>
      <c r="AU256" s="129"/>
      <c r="AV256" s="129"/>
      <c r="AW256" s="70"/>
    </row>
    <row r="257" spans="34:49" ht="12.75">
      <c r="AH257" s="106"/>
      <c r="AI257" s="129"/>
      <c r="AJ257" s="129"/>
      <c r="AK257" s="129"/>
      <c r="AL257" s="129"/>
      <c r="AM257" s="129"/>
      <c r="AN257" s="129"/>
      <c r="AO257" s="129"/>
      <c r="AP257" s="129"/>
      <c r="AQ257" s="129"/>
      <c r="AR257" s="129"/>
      <c r="AS257" s="129"/>
      <c r="AT257" s="129"/>
      <c r="AU257" s="129"/>
      <c r="AV257" s="129"/>
      <c r="AW257" s="70"/>
    </row>
    <row r="258" spans="34:49" ht="12.75">
      <c r="AH258" s="106"/>
      <c r="AI258" s="129"/>
      <c r="AJ258" s="129"/>
      <c r="AK258" s="129"/>
      <c r="AL258" s="129"/>
      <c r="AM258" s="129"/>
      <c r="AN258" s="129"/>
      <c r="AO258" s="129"/>
      <c r="AP258" s="129"/>
      <c r="AQ258" s="129"/>
      <c r="AR258" s="129"/>
      <c r="AS258" s="129"/>
      <c r="AT258" s="129"/>
      <c r="AU258" s="129"/>
      <c r="AV258" s="129"/>
      <c r="AW258" s="70"/>
    </row>
    <row r="259" spans="34:49" ht="12.75">
      <c r="AH259" s="106"/>
      <c r="AI259" s="129"/>
      <c r="AJ259" s="129"/>
      <c r="AK259" s="129"/>
      <c r="AL259" s="129"/>
      <c r="AM259" s="129"/>
      <c r="AN259" s="129"/>
      <c r="AO259" s="129"/>
      <c r="AP259" s="129"/>
      <c r="AQ259" s="129"/>
      <c r="AR259" s="129"/>
      <c r="AS259" s="129"/>
      <c r="AT259" s="129"/>
      <c r="AU259" s="129"/>
      <c r="AV259" s="129"/>
      <c r="AW259" s="70"/>
    </row>
    <row r="260" spans="34:49" ht="12.75">
      <c r="AH260" s="106"/>
      <c r="AI260" s="129"/>
      <c r="AJ260" s="129"/>
      <c r="AK260" s="129"/>
      <c r="AL260" s="129"/>
      <c r="AM260" s="129"/>
      <c r="AN260" s="129"/>
      <c r="AO260" s="129"/>
      <c r="AP260" s="129"/>
      <c r="AQ260" s="129"/>
      <c r="AR260" s="129"/>
      <c r="AS260" s="129"/>
      <c r="AT260" s="129"/>
      <c r="AU260" s="129"/>
      <c r="AV260" s="129"/>
      <c r="AW260" s="70"/>
    </row>
    <row r="261" spans="34:49" ht="12.75">
      <c r="AH261" s="106"/>
      <c r="AI261" s="129"/>
      <c r="AJ261" s="129"/>
      <c r="AK261" s="129"/>
      <c r="AL261" s="129"/>
      <c r="AM261" s="129"/>
      <c r="AN261" s="129"/>
      <c r="AO261" s="129"/>
      <c r="AP261" s="129"/>
      <c r="AQ261" s="129"/>
      <c r="AR261" s="129"/>
      <c r="AS261" s="129"/>
      <c r="AT261" s="129"/>
      <c r="AU261" s="129"/>
      <c r="AV261" s="129"/>
      <c r="AW261" s="70"/>
    </row>
    <row r="262" spans="34:49" ht="12.75">
      <c r="AH262" s="106"/>
      <c r="AI262" s="129"/>
      <c r="AJ262" s="129"/>
      <c r="AK262" s="129"/>
      <c r="AL262" s="129"/>
      <c r="AM262" s="129"/>
      <c r="AN262" s="129"/>
      <c r="AO262" s="129"/>
      <c r="AP262" s="129"/>
      <c r="AQ262" s="129"/>
      <c r="AR262" s="129"/>
      <c r="AS262" s="129"/>
      <c r="AT262" s="129"/>
      <c r="AU262" s="129"/>
      <c r="AV262" s="129"/>
      <c r="AW262" s="70"/>
    </row>
    <row r="263" spans="34:49" ht="12.75">
      <c r="AH263" s="106"/>
      <c r="AI263" s="129"/>
      <c r="AJ263" s="129"/>
      <c r="AK263" s="129"/>
      <c r="AL263" s="129"/>
      <c r="AM263" s="129"/>
      <c r="AN263" s="129"/>
      <c r="AO263" s="129"/>
      <c r="AP263" s="129"/>
      <c r="AQ263" s="129"/>
      <c r="AR263" s="129"/>
      <c r="AS263" s="129"/>
      <c r="AT263" s="129"/>
      <c r="AU263" s="129"/>
      <c r="AV263" s="129"/>
      <c r="AW263" s="70"/>
    </row>
    <row r="264" spans="34:49" ht="12.75">
      <c r="AH264" s="106"/>
      <c r="AI264" s="129"/>
      <c r="AJ264" s="129"/>
      <c r="AK264" s="129"/>
      <c r="AL264" s="129"/>
      <c r="AM264" s="129"/>
      <c r="AN264" s="129"/>
      <c r="AO264" s="129"/>
      <c r="AP264" s="129"/>
      <c r="AQ264" s="129"/>
      <c r="AR264" s="129"/>
      <c r="AS264" s="129"/>
      <c r="AT264" s="129"/>
      <c r="AU264" s="129"/>
      <c r="AV264" s="129"/>
      <c r="AW264" s="70"/>
    </row>
    <row r="265" spans="34:49" ht="12.75">
      <c r="AH265" s="106"/>
      <c r="AI265" s="129"/>
      <c r="AJ265" s="129"/>
      <c r="AK265" s="129"/>
      <c r="AL265" s="129"/>
      <c r="AM265" s="129"/>
      <c r="AN265" s="129"/>
      <c r="AO265" s="129"/>
      <c r="AP265" s="129"/>
      <c r="AQ265" s="129"/>
      <c r="AR265" s="129"/>
      <c r="AS265" s="129"/>
      <c r="AT265" s="129"/>
      <c r="AU265" s="129"/>
      <c r="AV265" s="129"/>
      <c r="AW265" s="70"/>
    </row>
    <row r="266" spans="34:49" ht="12.75">
      <c r="AH266" s="106"/>
      <c r="AI266" s="129"/>
      <c r="AJ266" s="129"/>
      <c r="AK266" s="129"/>
      <c r="AL266" s="129"/>
      <c r="AM266" s="129"/>
      <c r="AN266" s="129"/>
      <c r="AO266" s="129"/>
      <c r="AP266" s="129"/>
      <c r="AQ266" s="129"/>
      <c r="AR266" s="129"/>
      <c r="AS266" s="129"/>
      <c r="AT266" s="129"/>
      <c r="AU266" s="129"/>
      <c r="AV266" s="129"/>
      <c r="AW266" s="70"/>
    </row>
    <row r="267" spans="34:49" ht="12.75">
      <c r="AH267" s="106"/>
      <c r="AI267" s="129"/>
      <c r="AJ267" s="129"/>
      <c r="AK267" s="129"/>
      <c r="AL267" s="129"/>
      <c r="AM267" s="129"/>
      <c r="AN267" s="129"/>
      <c r="AO267" s="129"/>
      <c r="AP267" s="129"/>
      <c r="AQ267" s="129"/>
      <c r="AR267" s="129"/>
      <c r="AS267" s="129"/>
      <c r="AT267" s="129"/>
      <c r="AU267" s="129"/>
      <c r="AV267" s="129"/>
      <c r="AW267" s="70"/>
    </row>
    <row r="268" spans="34:49" ht="12.75">
      <c r="AH268" s="106"/>
      <c r="AI268" s="129"/>
      <c r="AJ268" s="129"/>
      <c r="AK268" s="129"/>
      <c r="AL268" s="129"/>
      <c r="AM268" s="129"/>
      <c r="AN268" s="129"/>
      <c r="AO268" s="129"/>
      <c r="AP268" s="129"/>
      <c r="AQ268" s="129"/>
      <c r="AR268" s="129"/>
      <c r="AS268" s="129"/>
      <c r="AT268" s="129"/>
      <c r="AU268" s="129"/>
      <c r="AV268" s="129"/>
      <c r="AW268" s="70"/>
    </row>
    <row r="269" spans="34:49" ht="12.75">
      <c r="AH269" s="106"/>
      <c r="AI269" s="129"/>
      <c r="AJ269" s="129"/>
      <c r="AK269" s="129"/>
      <c r="AL269" s="129"/>
      <c r="AM269" s="129"/>
      <c r="AN269" s="129"/>
      <c r="AO269" s="129"/>
      <c r="AP269" s="129"/>
      <c r="AQ269" s="129"/>
      <c r="AR269" s="129"/>
      <c r="AS269" s="129"/>
      <c r="AT269" s="129"/>
      <c r="AU269" s="129"/>
      <c r="AV269" s="129"/>
      <c r="AW269" s="70"/>
    </row>
    <row r="270" spans="34:49" ht="12.75">
      <c r="AH270" s="106"/>
      <c r="AI270" s="129"/>
      <c r="AJ270" s="129"/>
      <c r="AK270" s="129"/>
      <c r="AL270" s="129"/>
      <c r="AM270" s="129"/>
      <c r="AN270" s="129"/>
      <c r="AO270" s="129"/>
      <c r="AP270" s="129"/>
      <c r="AQ270" s="129"/>
      <c r="AR270" s="129"/>
      <c r="AS270" s="129"/>
      <c r="AT270" s="129"/>
      <c r="AU270" s="129"/>
      <c r="AV270" s="129"/>
      <c r="AW270" s="70"/>
    </row>
    <row r="271" spans="34:49" ht="12.75">
      <c r="AH271" s="106"/>
      <c r="AI271" s="129"/>
      <c r="AJ271" s="129"/>
      <c r="AK271" s="129"/>
      <c r="AL271" s="129"/>
      <c r="AM271" s="129"/>
      <c r="AN271" s="129"/>
      <c r="AO271" s="129"/>
      <c r="AP271" s="129"/>
      <c r="AQ271" s="129"/>
      <c r="AR271" s="129"/>
      <c r="AS271" s="129"/>
      <c r="AT271" s="129"/>
      <c r="AU271" s="129"/>
      <c r="AV271" s="129"/>
      <c r="AW271" s="70"/>
    </row>
    <row r="272" spans="34:49" ht="12.75">
      <c r="AH272" s="106"/>
      <c r="AI272" s="129"/>
      <c r="AJ272" s="129"/>
      <c r="AK272" s="129"/>
      <c r="AL272" s="129"/>
      <c r="AM272" s="129"/>
      <c r="AN272" s="129"/>
      <c r="AO272" s="129"/>
      <c r="AP272" s="129"/>
      <c r="AQ272" s="129"/>
      <c r="AR272" s="129"/>
      <c r="AS272" s="129"/>
      <c r="AT272" s="129"/>
      <c r="AU272" s="129"/>
      <c r="AV272" s="129"/>
      <c r="AW272" s="70"/>
    </row>
    <row r="273" spans="34:49" ht="12.75">
      <c r="AH273" s="106"/>
      <c r="AI273" s="129"/>
      <c r="AJ273" s="129"/>
      <c r="AK273" s="129"/>
      <c r="AL273" s="129"/>
      <c r="AM273" s="129"/>
      <c r="AN273" s="129"/>
      <c r="AO273" s="129"/>
      <c r="AP273" s="129"/>
      <c r="AQ273" s="129"/>
      <c r="AR273" s="129"/>
      <c r="AS273" s="129"/>
      <c r="AT273" s="129"/>
      <c r="AU273" s="129"/>
      <c r="AV273" s="129"/>
      <c r="AW273" s="70"/>
    </row>
    <row r="274" spans="34:49" ht="12.75">
      <c r="AH274" s="106"/>
      <c r="AI274" s="129"/>
      <c r="AJ274" s="129"/>
      <c r="AK274" s="129"/>
      <c r="AL274" s="129"/>
      <c r="AM274" s="129"/>
      <c r="AN274" s="129"/>
      <c r="AO274" s="129"/>
      <c r="AP274" s="129"/>
      <c r="AQ274" s="129"/>
      <c r="AR274" s="129"/>
      <c r="AS274" s="129"/>
      <c r="AT274" s="129"/>
      <c r="AU274" s="129"/>
      <c r="AV274" s="129"/>
      <c r="AW274" s="70"/>
    </row>
    <row r="275" spans="34:49" ht="12.75">
      <c r="AH275" s="106"/>
      <c r="AI275" s="129"/>
      <c r="AJ275" s="129"/>
      <c r="AK275" s="129"/>
      <c r="AL275" s="129"/>
      <c r="AM275" s="129"/>
      <c r="AN275" s="129"/>
      <c r="AO275" s="129"/>
      <c r="AP275" s="129"/>
      <c r="AQ275" s="129"/>
      <c r="AR275" s="129"/>
      <c r="AS275" s="129"/>
      <c r="AT275" s="129"/>
      <c r="AU275" s="129"/>
      <c r="AV275" s="129"/>
      <c r="AW275" s="70"/>
    </row>
    <row r="276" spans="34:49" ht="12.75">
      <c r="AH276" s="106"/>
      <c r="AI276" s="129"/>
      <c r="AJ276" s="129"/>
      <c r="AK276" s="129"/>
      <c r="AL276" s="129"/>
      <c r="AM276" s="129"/>
      <c r="AN276" s="129"/>
      <c r="AO276" s="129"/>
      <c r="AP276" s="129"/>
      <c r="AQ276" s="129"/>
      <c r="AR276" s="129"/>
      <c r="AS276" s="129"/>
      <c r="AT276" s="129"/>
      <c r="AU276" s="129"/>
      <c r="AV276" s="129"/>
      <c r="AW276" s="70"/>
    </row>
    <row r="277" spans="34:49" ht="12.75">
      <c r="AH277" s="106"/>
      <c r="AI277" s="129"/>
      <c r="AJ277" s="129"/>
      <c r="AK277" s="129"/>
      <c r="AL277" s="129"/>
      <c r="AM277" s="129"/>
      <c r="AN277" s="129"/>
      <c r="AO277" s="129"/>
      <c r="AP277" s="129"/>
      <c r="AQ277" s="129"/>
      <c r="AR277" s="129"/>
      <c r="AS277" s="129"/>
      <c r="AT277" s="129"/>
      <c r="AU277" s="129"/>
      <c r="AV277" s="129"/>
      <c r="AW277" s="70"/>
    </row>
    <row r="278" spans="34:49" ht="12.75">
      <c r="AH278" s="106"/>
      <c r="AI278" s="129"/>
      <c r="AJ278" s="129"/>
      <c r="AK278" s="129"/>
      <c r="AL278" s="129"/>
      <c r="AM278" s="129"/>
      <c r="AN278" s="129"/>
      <c r="AO278" s="129"/>
      <c r="AP278" s="129"/>
      <c r="AQ278" s="129"/>
      <c r="AR278" s="129"/>
      <c r="AS278" s="129"/>
      <c r="AT278" s="129"/>
      <c r="AU278" s="129"/>
      <c r="AV278" s="129"/>
      <c r="AW278" s="70"/>
    </row>
    <row r="279" spans="34:49" ht="12.75">
      <c r="AH279" s="106"/>
      <c r="AI279" s="129"/>
      <c r="AJ279" s="129"/>
      <c r="AK279" s="129"/>
      <c r="AL279" s="129"/>
      <c r="AM279" s="129"/>
      <c r="AN279" s="129"/>
      <c r="AO279" s="129"/>
      <c r="AP279" s="129"/>
      <c r="AQ279" s="129"/>
      <c r="AR279" s="129"/>
      <c r="AS279" s="129"/>
      <c r="AT279" s="129"/>
      <c r="AU279" s="129"/>
      <c r="AV279" s="129"/>
      <c r="AW279" s="70"/>
    </row>
    <row r="280" spans="34:49" ht="12.75">
      <c r="AH280" s="106"/>
      <c r="AI280" s="129"/>
      <c r="AJ280" s="129"/>
      <c r="AK280" s="129"/>
      <c r="AL280" s="129"/>
      <c r="AM280" s="129"/>
      <c r="AN280" s="129"/>
      <c r="AO280" s="129"/>
      <c r="AP280" s="129"/>
      <c r="AQ280" s="129"/>
      <c r="AR280" s="129"/>
      <c r="AS280" s="129"/>
      <c r="AT280" s="129"/>
      <c r="AU280" s="129"/>
      <c r="AV280" s="129"/>
      <c r="AW280" s="70"/>
    </row>
    <row r="281" spans="34:49" ht="12.75">
      <c r="AH281" s="106"/>
      <c r="AI281" s="129"/>
      <c r="AJ281" s="129"/>
      <c r="AK281" s="129"/>
      <c r="AL281" s="129"/>
      <c r="AM281" s="129"/>
      <c r="AN281" s="129"/>
      <c r="AO281" s="129"/>
      <c r="AP281" s="129"/>
      <c r="AQ281" s="129"/>
      <c r="AR281" s="129"/>
      <c r="AS281" s="129"/>
      <c r="AT281" s="129"/>
      <c r="AU281" s="129"/>
      <c r="AV281" s="129"/>
      <c r="AW281" s="70"/>
    </row>
    <row r="282" spans="34:49" ht="12.75">
      <c r="AH282" s="106"/>
      <c r="AI282" s="129"/>
      <c r="AJ282" s="129"/>
      <c r="AK282" s="129"/>
      <c r="AL282" s="129"/>
      <c r="AM282" s="129"/>
      <c r="AN282" s="129"/>
      <c r="AO282" s="129"/>
      <c r="AP282" s="129"/>
      <c r="AQ282" s="129"/>
      <c r="AR282" s="129"/>
      <c r="AS282" s="129"/>
      <c r="AT282" s="129"/>
      <c r="AU282" s="129"/>
      <c r="AV282" s="129"/>
      <c r="AW282" s="70"/>
    </row>
    <row r="283" spans="34:49" ht="12.75">
      <c r="AH283" s="106"/>
      <c r="AI283" s="129"/>
      <c r="AJ283" s="129"/>
      <c r="AK283" s="129"/>
      <c r="AL283" s="129"/>
      <c r="AM283" s="129"/>
      <c r="AN283" s="129"/>
      <c r="AO283" s="129"/>
      <c r="AP283" s="129"/>
      <c r="AQ283" s="129"/>
      <c r="AR283" s="129"/>
      <c r="AS283" s="129"/>
      <c r="AT283" s="129"/>
      <c r="AU283" s="129"/>
      <c r="AV283" s="129"/>
      <c r="AW283" s="70"/>
    </row>
    <row r="284" spans="34:49" ht="12.75">
      <c r="AH284" s="106"/>
      <c r="AI284" s="129"/>
      <c r="AJ284" s="129"/>
      <c r="AK284" s="129"/>
      <c r="AL284" s="129"/>
      <c r="AM284" s="129"/>
      <c r="AN284" s="129"/>
      <c r="AO284" s="129"/>
      <c r="AP284" s="129"/>
      <c r="AQ284" s="129"/>
      <c r="AR284" s="129"/>
      <c r="AS284" s="129"/>
      <c r="AT284" s="129"/>
      <c r="AU284" s="129"/>
      <c r="AV284" s="129"/>
      <c r="AW284" s="70"/>
    </row>
    <row r="285" spans="34:49" ht="12.75">
      <c r="AH285" s="106"/>
      <c r="AI285" s="129"/>
      <c r="AJ285" s="129"/>
      <c r="AK285" s="129"/>
      <c r="AL285" s="129"/>
      <c r="AM285" s="129"/>
      <c r="AN285" s="129"/>
      <c r="AO285" s="129"/>
      <c r="AP285" s="129"/>
      <c r="AQ285" s="129"/>
      <c r="AR285" s="129"/>
      <c r="AS285" s="129"/>
      <c r="AT285" s="129"/>
      <c r="AU285" s="129"/>
      <c r="AV285" s="129"/>
      <c r="AW285" s="70"/>
    </row>
    <row r="286" spans="34:49" ht="12.75">
      <c r="AH286" s="106"/>
      <c r="AI286" s="129"/>
      <c r="AJ286" s="129"/>
      <c r="AK286" s="129"/>
      <c r="AL286" s="129"/>
      <c r="AM286" s="129"/>
      <c r="AN286" s="129"/>
      <c r="AO286" s="129"/>
      <c r="AP286" s="129"/>
      <c r="AQ286" s="129"/>
      <c r="AR286" s="129"/>
      <c r="AS286" s="129"/>
      <c r="AT286" s="129"/>
      <c r="AU286" s="129"/>
      <c r="AV286" s="129"/>
      <c r="AW286" s="70"/>
    </row>
    <row r="287" spans="34:49" ht="12.75">
      <c r="AH287" s="106"/>
      <c r="AI287" s="129"/>
      <c r="AJ287" s="129"/>
      <c r="AK287" s="129"/>
      <c r="AL287" s="129"/>
      <c r="AM287" s="129"/>
      <c r="AN287" s="129"/>
      <c r="AO287" s="129"/>
      <c r="AP287" s="129"/>
      <c r="AQ287" s="129"/>
      <c r="AR287" s="129"/>
      <c r="AS287" s="129"/>
      <c r="AT287" s="129"/>
      <c r="AU287" s="129"/>
      <c r="AV287" s="129"/>
      <c r="AW287" s="70"/>
    </row>
    <row r="288" spans="34:49" ht="12.75">
      <c r="AH288" s="106"/>
      <c r="AI288" s="129"/>
      <c r="AJ288" s="129"/>
      <c r="AK288" s="129"/>
      <c r="AL288" s="129"/>
      <c r="AM288" s="129"/>
      <c r="AN288" s="129"/>
      <c r="AO288" s="129"/>
      <c r="AP288" s="129"/>
      <c r="AQ288" s="129"/>
      <c r="AR288" s="129"/>
      <c r="AS288" s="129"/>
      <c r="AT288" s="129"/>
      <c r="AU288" s="129"/>
      <c r="AV288" s="129"/>
      <c r="AW288" s="70"/>
    </row>
    <row r="289" spans="34:49" ht="12.75">
      <c r="AH289" s="106"/>
      <c r="AI289" s="129"/>
      <c r="AJ289" s="129"/>
      <c r="AK289" s="129"/>
      <c r="AL289" s="129"/>
      <c r="AM289" s="129"/>
      <c r="AN289" s="129"/>
      <c r="AO289" s="129"/>
      <c r="AP289" s="129"/>
      <c r="AQ289" s="129"/>
      <c r="AR289" s="129"/>
      <c r="AS289" s="129"/>
      <c r="AT289" s="129"/>
      <c r="AU289" s="129"/>
      <c r="AV289" s="129"/>
      <c r="AW289" s="70"/>
    </row>
    <row r="290" spans="34:49" ht="12.75">
      <c r="AH290" s="106"/>
      <c r="AI290" s="129"/>
      <c r="AJ290" s="129"/>
      <c r="AK290" s="129"/>
      <c r="AL290" s="129"/>
      <c r="AM290" s="129"/>
      <c r="AN290" s="129"/>
      <c r="AO290" s="129"/>
      <c r="AP290" s="129"/>
      <c r="AQ290" s="129"/>
      <c r="AR290" s="129"/>
      <c r="AS290" s="129"/>
      <c r="AT290" s="129"/>
      <c r="AU290" s="129"/>
      <c r="AV290" s="129"/>
      <c r="AW290" s="70"/>
    </row>
    <row r="291" spans="34:49" ht="12.75">
      <c r="AH291" s="106"/>
      <c r="AI291" s="129"/>
      <c r="AJ291" s="129"/>
      <c r="AK291" s="129"/>
      <c r="AL291" s="129"/>
      <c r="AM291" s="129"/>
      <c r="AN291" s="129"/>
      <c r="AO291" s="129"/>
      <c r="AP291" s="129"/>
      <c r="AQ291" s="129"/>
      <c r="AR291" s="129"/>
      <c r="AS291" s="129"/>
      <c r="AT291" s="129"/>
      <c r="AU291" s="129"/>
      <c r="AV291" s="129"/>
      <c r="AW291" s="70"/>
    </row>
    <row r="292" spans="34:49" ht="12.75">
      <c r="AH292" s="106"/>
      <c r="AI292" s="129"/>
      <c r="AJ292" s="129"/>
      <c r="AK292" s="129"/>
      <c r="AL292" s="129"/>
      <c r="AM292" s="129"/>
      <c r="AN292" s="129"/>
      <c r="AO292" s="129"/>
      <c r="AP292" s="129"/>
      <c r="AQ292" s="129"/>
      <c r="AR292" s="129"/>
      <c r="AS292" s="129"/>
      <c r="AT292" s="129"/>
      <c r="AU292" s="129"/>
      <c r="AV292" s="129"/>
      <c r="AW292" s="70"/>
    </row>
    <row r="293" spans="34:49" ht="12.75">
      <c r="AH293" s="106"/>
      <c r="AI293" s="129"/>
      <c r="AJ293" s="129"/>
      <c r="AK293" s="129"/>
      <c r="AL293" s="129"/>
      <c r="AM293" s="129"/>
      <c r="AN293" s="129"/>
      <c r="AO293" s="129"/>
      <c r="AP293" s="129"/>
      <c r="AQ293" s="129"/>
      <c r="AR293" s="129"/>
      <c r="AS293" s="129"/>
      <c r="AT293" s="129"/>
      <c r="AU293" s="129"/>
      <c r="AV293" s="129"/>
      <c r="AW293" s="70"/>
    </row>
    <row r="294" spans="34:49" ht="12.75">
      <c r="AH294" s="106"/>
      <c r="AI294" s="129"/>
      <c r="AJ294" s="129"/>
      <c r="AK294" s="129"/>
      <c r="AL294" s="129"/>
      <c r="AM294" s="129"/>
      <c r="AN294" s="129"/>
      <c r="AO294" s="129"/>
      <c r="AP294" s="129"/>
      <c r="AQ294" s="129"/>
      <c r="AR294" s="129"/>
      <c r="AS294" s="129"/>
      <c r="AT294" s="129"/>
      <c r="AU294" s="129"/>
      <c r="AV294" s="129"/>
      <c r="AW294" s="70"/>
    </row>
    <row r="295" spans="34:49" ht="12.75">
      <c r="AH295" s="106"/>
      <c r="AI295" s="129"/>
      <c r="AJ295" s="129"/>
      <c r="AK295" s="129"/>
      <c r="AL295" s="129"/>
      <c r="AM295" s="129"/>
      <c r="AN295" s="129"/>
      <c r="AO295" s="129"/>
      <c r="AP295" s="129"/>
      <c r="AQ295" s="129"/>
      <c r="AR295" s="129"/>
      <c r="AS295" s="129"/>
      <c r="AT295" s="129"/>
      <c r="AU295" s="129"/>
      <c r="AV295" s="129"/>
      <c r="AW295" s="70"/>
    </row>
    <row r="296" spans="34:49" ht="12.75">
      <c r="AH296" s="106"/>
      <c r="AI296" s="129"/>
      <c r="AJ296" s="129"/>
      <c r="AK296" s="129"/>
      <c r="AL296" s="129"/>
      <c r="AM296" s="129"/>
      <c r="AN296" s="129"/>
      <c r="AO296" s="129"/>
      <c r="AP296" s="129"/>
      <c r="AQ296" s="129"/>
      <c r="AR296" s="129"/>
      <c r="AS296" s="129"/>
      <c r="AT296" s="129"/>
      <c r="AU296" s="129"/>
      <c r="AV296" s="129"/>
      <c r="AW296" s="70"/>
    </row>
    <row r="297" spans="34:49" ht="12.75">
      <c r="AH297" s="106"/>
      <c r="AI297" s="129"/>
      <c r="AJ297" s="129"/>
      <c r="AK297" s="129"/>
      <c r="AL297" s="129"/>
      <c r="AM297" s="129"/>
      <c r="AN297" s="129"/>
      <c r="AO297" s="129"/>
      <c r="AP297" s="129"/>
      <c r="AQ297" s="129"/>
      <c r="AR297" s="129"/>
      <c r="AS297" s="129"/>
      <c r="AT297" s="129"/>
      <c r="AU297" s="129"/>
      <c r="AV297" s="129"/>
      <c r="AW297" s="70"/>
    </row>
    <row r="298" spans="34:49" ht="12.75">
      <c r="AH298" s="106"/>
      <c r="AI298" s="129"/>
      <c r="AJ298" s="129"/>
      <c r="AK298" s="129"/>
      <c r="AL298" s="129"/>
      <c r="AM298" s="129"/>
      <c r="AN298" s="129"/>
      <c r="AO298" s="129"/>
      <c r="AP298" s="129"/>
      <c r="AQ298" s="129"/>
      <c r="AR298" s="129"/>
      <c r="AS298" s="129"/>
      <c r="AT298" s="129"/>
      <c r="AU298" s="129"/>
      <c r="AV298" s="129"/>
      <c r="AW298" s="70"/>
    </row>
    <row r="299" spans="34:49" ht="12.75">
      <c r="AH299" s="106"/>
      <c r="AI299" s="129"/>
      <c r="AJ299" s="129"/>
      <c r="AK299" s="129"/>
      <c r="AL299" s="129"/>
      <c r="AM299" s="129"/>
      <c r="AN299" s="129"/>
      <c r="AO299" s="129"/>
      <c r="AP299" s="129"/>
      <c r="AQ299" s="129"/>
      <c r="AR299" s="129"/>
      <c r="AS299" s="129"/>
      <c r="AT299" s="129"/>
      <c r="AU299" s="129"/>
      <c r="AV299" s="129"/>
      <c r="AW299" s="70"/>
    </row>
    <row r="300" spans="34:49" ht="12.75">
      <c r="AH300" s="106"/>
      <c r="AI300" s="129"/>
      <c r="AJ300" s="129"/>
      <c r="AK300" s="129"/>
      <c r="AL300" s="129"/>
      <c r="AM300" s="129"/>
      <c r="AN300" s="129"/>
      <c r="AO300" s="129"/>
      <c r="AP300" s="129"/>
      <c r="AQ300" s="129"/>
      <c r="AR300" s="129"/>
      <c r="AS300" s="129"/>
      <c r="AT300" s="129"/>
      <c r="AU300" s="129"/>
      <c r="AV300" s="129"/>
      <c r="AW300" s="70"/>
    </row>
    <row r="301" spans="34:49" ht="12.75">
      <c r="AH301" s="106"/>
      <c r="AI301" s="129"/>
      <c r="AJ301" s="129"/>
      <c r="AK301" s="129"/>
      <c r="AL301" s="129"/>
      <c r="AM301" s="129"/>
      <c r="AN301" s="129"/>
      <c r="AO301" s="129"/>
      <c r="AP301" s="129"/>
      <c r="AQ301" s="129"/>
      <c r="AR301" s="129"/>
      <c r="AS301" s="129"/>
      <c r="AT301" s="129"/>
      <c r="AU301" s="129"/>
      <c r="AV301" s="129"/>
      <c r="AW301" s="70"/>
    </row>
    <row r="302" spans="34:49" ht="12.75">
      <c r="AH302" s="106"/>
      <c r="AI302" s="129"/>
      <c r="AJ302" s="129"/>
      <c r="AK302" s="129"/>
      <c r="AL302" s="129"/>
      <c r="AM302" s="129"/>
      <c r="AN302" s="129"/>
      <c r="AO302" s="129"/>
      <c r="AP302" s="129"/>
      <c r="AQ302" s="129"/>
      <c r="AR302" s="129"/>
      <c r="AS302" s="129"/>
      <c r="AT302" s="129"/>
      <c r="AU302" s="129"/>
      <c r="AV302" s="129"/>
      <c r="AW302" s="70"/>
    </row>
    <row r="303" spans="34:49" ht="12.75">
      <c r="AH303" s="106"/>
      <c r="AI303" s="129"/>
      <c r="AJ303" s="129"/>
      <c r="AK303" s="129"/>
      <c r="AL303" s="129"/>
      <c r="AM303" s="129"/>
      <c r="AN303" s="129"/>
      <c r="AO303" s="129"/>
      <c r="AP303" s="129"/>
      <c r="AQ303" s="129"/>
      <c r="AR303" s="129"/>
      <c r="AS303" s="129"/>
      <c r="AT303" s="129"/>
      <c r="AU303" s="129"/>
      <c r="AV303" s="129"/>
      <c r="AW303" s="70"/>
    </row>
    <row r="304" spans="34:49" ht="12.75">
      <c r="AH304" s="106"/>
      <c r="AI304" s="129"/>
      <c r="AJ304" s="129"/>
      <c r="AK304" s="129"/>
      <c r="AL304" s="129"/>
      <c r="AM304" s="129"/>
      <c r="AN304" s="129"/>
      <c r="AO304" s="129"/>
      <c r="AP304" s="129"/>
      <c r="AQ304" s="129"/>
      <c r="AR304" s="129"/>
      <c r="AS304" s="129"/>
      <c r="AT304" s="129"/>
      <c r="AU304" s="129"/>
      <c r="AV304" s="129"/>
      <c r="AW304" s="70"/>
    </row>
    <row r="305" spans="34:49" ht="12.75">
      <c r="AH305" s="106"/>
      <c r="AI305" s="129"/>
      <c r="AJ305" s="129"/>
      <c r="AK305" s="129"/>
      <c r="AL305" s="129"/>
      <c r="AM305" s="129"/>
      <c r="AN305" s="129"/>
      <c r="AO305" s="129"/>
      <c r="AP305" s="129"/>
      <c r="AQ305" s="129"/>
      <c r="AR305" s="129"/>
      <c r="AS305" s="129"/>
      <c r="AT305" s="129"/>
      <c r="AU305" s="129"/>
      <c r="AV305" s="129"/>
      <c r="AW305" s="70"/>
    </row>
    <row r="306" spans="34:49" ht="12.75">
      <c r="AH306" s="106"/>
      <c r="AI306" s="129"/>
      <c r="AJ306" s="129"/>
      <c r="AK306" s="129"/>
      <c r="AL306" s="129"/>
      <c r="AM306" s="129"/>
      <c r="AN306" s="129"/>
      <c r="AO306" s="129"/>
      <c r="AP306" s="129"/>
      <c r="AQ306" s="129"/>
      <c r="AR306" s="129"/>
      <c r="AS306" s="129"/>
      <c r="AT306" s="129"/>
      <c r="AU306" s="129"/>
      <c r="AV306" s="129"/>
      <c r="AW306" s="70"/>
    </row>
    <row r="307" spans="34:49" ht="12.75">
      <c r="AH307" s="106"/>
      <c r="AI307" s="129"/>
      <c r="AJ307" s="129"/>
      <c r="AK307" s="129"/>
      <c r="AL307" s="129"/>
      <c r="AM307" s="129"/>
      <c r="AN307" s="129"/>
      <c r="AO307" s="129"/>
      <c r="AP307" s="129"/>
      <c r="AQ307" s="129"/>
      <c r="AR307" s="129"/>
      <c r="AS307" s="129"/>
      <c r="AT307" s="129"/>
      <c r="AU307" s="129"/>
      <c r="AV307" s="129"/>
      <c r="AW307" s="70"/>
    </row>
    <row r="308" spans="34:49" ht="12.75">
      <c r="AH308" s="106"/>
      <c r="AI308" s="129"/>
      <c r="AJ308" s="129"/>
      <c r="AK308" s="129"/>
      <c r="AL308" s="129"/>
      <c r="AM308" s="129"/>
      <c r="AN308" s="129"/>
      <c r="AO308" s="129"/>
      <c r="AP308" s="129"/>
      <c r="AQ308" s="129"/>
      <c r="AR308" s="129"/>
      <c r="AS308" s="129"/>
      <c r="AT308" s="129"/>
      <c r="AU308" s="129"/>
      <c r="AV308" s="129"/>
      <c r="AW308" s="70"/>
    </row>
    <row r="309" spans="34:49" ht="12.75">
      <c r="AH309" s="106"/>
      <c r="AI309" s="129"/>
      <c r="AJ309" s="129"/>
      <c r="AK309" s="129"/>
      <c r="AL309" s="129"/>
      <c r="AM309" s="129"/>
      <c r="AN309" s="129"/>
      <c r="AO309" s="129"/>
      <c r="AP309" s="129"/>
      <c r="AQ309" s="129"/>
      <c r="AR309" s="129"/>
      <c r="AS309" s="129"/>
      <c r="AT309" s="129"/>
      <c r="AU309" s="129"/>
      <c r="AV309" s="129"/>
      <c r="AW309" s="70"/>
    </row>
    <row r="310" spans="34:49" ht="12.75">
      <c r="AH310" s="106"/>
      <c r="AI310" s="129"/>
      <c r="AJ310" s="129"/>
      <c r="AK310" s="129"/>
      <c r="AL310" s="129"/>
      <c r="AM310" s="129"/>
      <c r="AN310" s="129"/>
      <c r="AO310" s="129"/>
      <c r="AP310" s="129"/>
      <c r="AQ310" s="129"/>
      <c r="AR310" s="129"/>
      <c r="AS310" s="129"/>
      <c r="AT310" s="129"/>
      <c r="AU310" s="129"/>
      <c r="AV310" s="129"/>
      <c r="AW310" s="70"/>
    </row>
    <row r="311" spans="34:49" ht="12.75">
      <c r="AH311" s="106"/>
      <c r="AI311" s="129"/>
      <c r="AJ311" s="129"/>
      <c r="AK311" s="129"/>
      <c r="AL311" s="129"/>
      <c r="AM311" s="129"/>
      <c r="AN311" s="129"/>
      <c r="AO311" s="129"/>
      <c r="AP311" s="129"/>
      <c r="AQ311" s="129"/>
      <c r="AR311" s="129"/>
      <c r="AS311" s="129"/>
      <c r="AT311" s="129"/>
      <c r="AU311" s="129"/>
      <c r="AV311" s="129"/>
      <c r="AW311" s="70"/>
    </row>
    <row r="312" spans="34:49" ht="12.75">
      <c r="AH312" s="106"/>
      <c r="AI312" s="129"/>
      <c r="AJ312" s="129"/>
      <c r="AK312" s="129"/>
      <c r="AL312" s="129"/>
      <c r="AM312" s="129"/>
      <c r="AN312" s="129"/>
      <c r="AO312" s="129"/>
      <c r="AP312" s="129"/>
      <c r="AQ312" s="129"/>
      <c r="AR312" s="129"/>
      <c r="AS312" s="129"/>
      <c r="AT312" s="129"/>
      <c r="AU312" s="129"/>
      <c r="AV312" s="129"/>
      <c r="AW312" s="70"/>
    </row>
    <row r="313" spans="34:49" ht="12.75">
      <c r="AH313" s="106"/>
      <c r="AI313" s="129"/>
      <c r="AJ313" s="129"/>
      <c r="AK313" s="129"/>
      <c r="AL313" s="129"/>
      <c r="AM313" s="129"/>
      <c r="AN313" s="129"/>
      <c r="AO313" s="129"/>
      <c r="AP313" s="129"/>
      <c r="AQ313" s="129"/>
      <c r="AR313" s="129"/>
      <c r="AS313" s="129"/>
      <c r="AT313" s="129"/>
      <c r="AU313" s="129"/>
      <c r="AV313" s="129"/>
      <c r="AW313" s="70"/>
    </row>
    <row r="314" spans="34:49" ht="12.75">
      <c r="AH314" s="106"/>
      <c r="AI314" s="129"/>
      <c r="AJ314" s="129"/>
      <c r="AK314" s="129"/>
      <c r="AL314" s="129"/>
      <c r="AM314" s="129"/>
      <c r="AN314" s="129"/>
      <c r="AO314" s="129"/>
      <c r="AP314" s="129"/>
      <c r="AQ314" s="129"/>
      <c r="AR314" s="129"/>
      <c r="AS314" s="129"/>
      <c r="AT314" s="129"/>
      <c r="AU314" s="129"/>
      <c r="AV314" s="129"/>
      <c r="AW314" s="70"/>
    </row>
    <row r="315" spans="34:49" ht="12.75">
      <c r="AH315" s="106"/>
      <c r="AI315" s="129"/>
      <c r="AJ315" s="129"/>
      <c r="AK315" s="129"/>
      <c r="AL315" s="129"/>
      <c r="AM315" s="129"/>
      <c r="AN315" s="129"/>
      <c r="AO315" s="129"/>
      <c r="AP315" s="129"/>
      <c r="AQ315" s="129"/>
      <c r="AR315" s="129"/>
      <c r="AS315" s="129"/>
      <c r="AT315" s="129"/>
      <c r="AU315" s="129"/>
      <c r="AV315" s="129"/>
      <c r="AW315" s="70"/>
    </row>
    <row r="316" spans="34:49" ht="12.75">
      <c r="AH316" s="106"/>
      <c r="AI316" s="129"/>
      <c r="AJ316" s="129"/>
      <c r="AK316" s="129"/>
      <c r="AL316" s="129"/>
      <c r="AM316" s="129"/>
      <c r="AN316" s="129"/>
      <c r="AO316" s="129"/>
      <c r="AP316" s="129"/>
      <c r="AQ316" s="129"/>
      <c r="AR316" s="129"/>
      <c r="AS316" s="129"/>
      <c r="AT316" s="129"/>
      <c r="AU316" s="129"/>
      <c r="AV316" s="129"/>
      <c r="AW316" s="70"/>
    </row>
    <row r="317" spans="34:49" ht="12.75">
      <c r="AH317" s="106"/>
      <c r="AI317" s="129"/>
      <c r="AJ317" s="129"/>
      <c r="AK317" s="129"/>
      <c r="AL317" s="129"/>
      <c r="AM317" s="129"/>
      <c r="AN317" s="129"/>
      <c r="AO317" s="129"/>
      <c r="AP317" s="129"/>
      <c r="AQ317" s="129"/>
      <c r="AR317" s="129"/>
      <c r="AS317" s="129"/>
      <c r="AT317" s="129"/>
      <c r="AU317" s="129"/>
      <c r="AV317" s="129"/>
      <c r="AW317" s="70"/>
    </row>
    <row r="318" spans="34:49" ht="12.75">
      <c r="AH318" s="106"/>
      <c r="AI318" s="129"/>
      <c r="AJ318" s="129"/>
      <c r="AK318" s="129"/>
      <c r="AL318" s="129"/>
      <c r="AM318" s="129"/>
      <c r="AN318" s="129"/>
      <c r="AO318" s="129"/>
      <c r="AP318" s="129"/>
      <c r="AQ318" s="129"/>
      <c r="AR318" s="129"/>
      <c r="AS318" s="129"/>
      <c r="AT318" s="129"/>
      <c r="AU318" s="129"/>
      <c r="AV318" s="129"/>
      <c r="AW318" s="70"/>
    </row>
    <row r="319" spans="34:49" ht="12.75">
      <c r="AH319" s="106"/>
      <c r="AI319" s="129"/>
      <c r="AJ319" s="129"/>
      <c r="AK319" s="129"/>
      <c r="AL319" s="129"/>
      <c r="AM319" s="129"/>
      <c r="AN319" s="129"/>
      <c r="AO319" s="129"/>
      <c r="AP319" s="129"/>
      <c r="AQ319" s="129"/>
      <c r="AR319" s="129"/>
      <c r="AS319" s="129"/>
      <c r="AT319" s="129"/>
      <c r="AU319" s="129"/>
      <c r="AV319" s="129"/>
      <c r="AW319" s="70"/>
    </row>
    <row r="320" spans="34:49" ht="12.75">
      <c r="AH320" s="132"/>
      <c r="AI320" s="133"/>
      <c r="AJ320" s="133"/>
      <c r="AK320" s="133"/>
      <c r="AL320" s="133"/>
      <c r="AM320" s="133"/>
      <c r="AN320" s="133"/>
      <c r="AO320" s="133"/>
      <c r="AP320" s="133"/>
      <c r="AQ320" s="133"/>
      <c r="AR320" s="133"/>
      <c r="AS320" s="133"/>
      <c r="AT320" s="133"/>
      <c r="AU320" s="133"/>
      <c r="AV320" s="133"/>
      <c r="AW320" s="134"/>
    </row>
    <row r="352" spans="34:49" ht="12.75">
      <c r="AH352" s="106"/>
      <c r="AI352" s="129"/>
      <c r="AJ352" s="129"/>
      <c r="AK352" s="129"/>
      <c r="AL352" s="129"/>
      <c r="AM352" s="129"/>
      <c r="AN352" s="129"/>
      <c r="AO352" s="129"/>
      <c r="AP352" s="129"/>
      <c r="AQ352" s="129"/>
      <c r="AR352" s="129"/>
      <c r="AS352" s="129"/>
      <c r="AT352" s="129"/>
      <c r="AU352" s="129"/>
      <c r="AV352" s="129"/>
      <c r="AW352" s="70"/>
    </row>
    <row r="353" spans="34:49" ht="12.75">
      <c r="AH353" s="106"/>
      <c r="AI353" s="106"/>
      <c r="AJ353" s="106"/>
      <c r="AK353" s="106"/>
      <c r="AL353" s="106"/>
      <c r="AM353" s="106"/>
      <c r="AN353" s="106"/>
      <c r="AO353" s="129"/>
      <c r="AP353" s="129"/>
      <c r="AQ353" s="106"/>
      <c r="AR353" s="106"/>
      <c r="AS353" s="106"/>
      <c r="AT353" s="106"/>
      <c r="AU353" s="106"/>
      <c r="AV353" s="106"/>
      <c r="AW353" s="70"/>
    </row>
    <row r="354" spans="34:49" ht="12.75">
      <c r="AH354" s="106"/>
      <c r="AI354" s="106"/>
      <c r="AJ354" s="106"/>
      <c r="AK354" s="106"/>
      <c r="AL354" s="106"/>
      <c r="AM354" s="106"/>
      <c r="AN354" s="106"/>
      <c r="AO354" s="129"/>
      <c r="AP354" s="129"/>
      <c r="AQ354" s="106"/>
      <c r="AR354" s="106"/>
      <c r="AS354" s="106"/>
      <c r="AT354" s="106"/>
      <c r="AU354" s="106"/>
      <c r="AV354" s="106"/>
      <c r="AW354" s="70"/>
    </row>
    <row r="355" spans="34:49" ht="12.75">
      <c r="AH355" s="106"/>
      <c r="AI355" s="106"/>
      <c r="AJ355" s="106"/>
      <c r="AK355" s="106"/>
      <c r="AL355" s="106"/>
      <c r="AM355" s="106"/>
      <c r="AN355" s="106"/>
      <c r="AO355" s="129"/>
      <c r="AP355" s="129"/>
      <c r="AQ355" s="106"/>
      <c r="AR355" s="106"/>
      <c r="AS355" s="106"/>
      <c r="AT355" s="106"/>
      <c r="AU355" s="106"/>
      <c r="AV355" s="106"/>
      <c r="AW355" s="70"/>
    </row>
    <row r="356" spans="34:49" ht="12.75">
      <c r="AH356" s="106"/>
      <c r="AI356" s="106"/>
      <c r="AJ356" s="106"/>
      <c r="AK356" s="106"/>
      <c r="AL356" s="106"/>
      <c r="AM356" s="106"/>
      <c r="AN356" s="106"/>
      <c r="AO356" s="129"/>
      <c r="AP356" s="129"/>
      <c r="AQ356" s="106"/>
      <c r="AR356" s="106"/>
      <c r="AS356" s="106"/>
      <c r="AT356" s="106"/>
      <c r="AU356" s="106"/>
      <c r="AV356" s="106"/>
      <c r="AW356" s="70"/>
    </row>
    <row r="357" spans="34:49" ht="12.75">
      <c r="AH357" s="106"/>
      <c r="AI357" s="106"/>
      <c r="AJ357" s="106"/>
      <c r="AK357" s="106"/>
      <c r="AL357" s="106"/>
      <c r="AM357" s="106"/>
      <c r="AN357" s="106"/>
      <c r="AO357" s="129"/>
      <c r="AP357" s="129"/>
      <c r="AQ357" s="106"/>
      <c r="AR357" s="106"/>
      <c r="AS357" s="106"/>
      <c r="AT357" s="106"/>
      <c r="AU357" s="106"/>
      <c r="AV357" s="106"/>
      <c r="AW357" s="70"/>
    </row>
    <row r="358" spans="34:49" ht="12.75">
      <c r="AH358" s="106"/>
      <c r="AI358" s="106"/>
      <c r="AJ358" s="106"/>
      <c r="AK358" s="106"/>
      <c r="AL358" s="106"/>
      <c r="AM358" s="106"/>
      <c r="AN358" s="106"/>
      <c r="AO358" s="129"/>
      <c r="AP358" s="129"/>
      <c r="AQ358" s="106"/>
      <c r="AR358" s="106"/>
      <c r="AS358" s="106"/>
      <c r="AT358" s="106"/>
      <c r="AU358" s="106"/>
      <c r="AV358" s="106"/>
      <c r="AW358" s="70"/>
    </row>
    <row r="359" spans="34:49" ht="12.75">
      <c r="AH359" s="106"/>
      <c r="AI359" s="106"/>
      <c r="AJ359" s="106"/>
      <c r="AK359" s="106"/>
      <c r="AL359" s="106"/>
      <c r="AM359" s="106"/>
      <c r="AN359" s="106"/>
      <c r="AO359" s="129"/>
      <c r="AP359" s="129"/>
      <c r="AQ359" s="106"/>
      <c r="AR359" s="106"/>
      <c r="AS359" s="106"/>
      <c r="AT359" s="106"/>
      <c r="AU359" s="106"/>
      <c r="AV359" s="106"/>
      <c r="AW359" s="70"/>
    </row>
    <row r="360" spans="34:49" ht="12.75">
      <c r="AH360" s="106"/>
      <c r="AI360" s="106"/>
      <c r="AJ360" s="106"/>
      <c r="AK360" s="106"/>
      <c r="AL360" s="106"/>
      <c r="AM360" s="106"/>
      <c r="AN360" s="106"/>
      <c r="AO360" s="106"/>
      <c r="AP360" s="106"/>
      <c r="AQ360" s="106"/>
      <c r="AR360" s="106"/>
      <c r="AS360" s="106"/>
      <c r="AT360" s="106"/>
      <c r="AU360" s="106"/>
      <c r="AV360" s="106"/>
      <c r="AW360" s="70"/>
    </row>
    <row r="361" spans="34:49" ht="12.75">
      <c r="AH361" s="106"/>
      <c r="AI361" s="106"/>
      <c r="AJ361" s="106"/>
      <c r="AK361" s="106"/>
      <c r="AL361" s="106"/>
      <c r="AM361" s="106"/>
      <c r="AN361" s="106"/>
      <c r="AO361" s="129"/>
      <c r="AP361" s="129"/>
      <c r="AQ361" s="106"/>
      <c r="AR361" s="106"/>
      <c r="AS361" s="106"/>
      <c r="AT361" s="106"/>
      <c r="AU361" s="106"/>
      <c r="AV361" s="106"/>
      <c r="AW361" s="70"/>
    </row>
    <row r="362" spans="34:49" ht="12.75">
      <c r="AH362" s="106"/>
      <c r="AI362" s="106"/>
      <c r="AJ362" s="106"/>
      <c r="AK362" s="106"/>
      <c r="AL362" s="106"/>
      <c r="AM362" s="106"/>
      <c r="AN362" s="106"/>
      <c r="AO362" s="106"/>
      <c r="AP362" s="106"/>
      <c r="AQ362" s="106"/>
      <c r="AR362" s="106"/>
      <c r="AS362" s="106"/>
      <c r="AT362" s="106"/>
      <c r="AU362" s="106"/>
      <c r="AV362" s="106"/>
      <c r="AW362" s="70"/>
    </row>
    <row r="363" spans="34:49" ht="12.75">
      <c r="AH363" s="106"/>
      <c r="AI363" s="106"/>
      <c r="AJ363" s="106"/>
      <c r="AK363" s="106"/>
      <c r="AL363" s="106"/>
      <c r="AM363" s="106"/>
      <c r="AN363" s="106"/>
      <c r="AO363" s="129"/>
      <c r="AP363" s="129"/>
      <c r="AQ363" s="106"/>
      <c r="AR363" s="106"/>
      <c r="AS363" s="106"/>
      <c r="AT363" s="106"/>
      <c r="AU363" s="106"/>
      <c r="AV363" s="106"/>
      <c r="AW363" s="70"/>
    </row>
    <row r="364" spans="34:49" ht="12.75">
      <c r="AH364" s="106"/>
      <c r="AI364" s="106"/>
      <c r="AJ364" s="106"/>
      <c r="AK364" s="106"/>
      <c r="AL364" s="106"/>
      <c r="AM364" s="106"/>
      <c r="AN364" s="106"/>
      <c r="AO364" s="106"/>
      <c r="AP364" s="106"/>
      <c r="AQ364" s="106"/>
      <c r="AR364" s="106"/>
      <c r="AS364" s="106"/>
      <c r="AT364" s="106"/>
      <c r="AU364" s="106"/>
      <c r="AV364" s="106"/>
      <c r="AW364" s="70"/>
    </row>
    <row r="365" spans="34:49" ht="12.75">
      <c r="AH365" s="106"/>
      <c r="AI365" s="106"/>
      <c r="AJ365" s="106"/>
      <c r="AK365" s="106"/>
      <c r="AL365" s="106"/>
      <c r="AM365" s="106"/>
      <c r="AN365" s="106"/>
      <c r="AO365" s="129"/>
      <c r="AP365" s="129"/>
      <c r="AQ365" s="106"/>
      <c r="AR365" s="106"/>
      <c r="AS365" s="106"/>
      <c r="AT365" s="106"/>
      <c r="AU365" s="106"/>
      <c r="AV365" s="106"/>
      <c r="AW365" s="70"/>
    </row>
    <row r="366" spans="34:49" ht="12.75">
      <c r="AH366" s="106"/>
      <c r="AI366" s="106"/>
      <c r="AJ366" s="106"/>
      <c r="AK366" s="106"/>
      <c r="AL366" s="106"/>
      <c r="AM366" s="106"/>
      <c r="AN366" s="106"/>
      <c r="AO366" s="129"/>
      <c r="AP366" s="129"/>
      <c r="AQ366" s="106"/>
      <c r="AR366" s="106"/>
      <c r="AS366" s="106"/>
      <c r="AT366" s="106"/>
      <c r="AU366" s="106"/>
      <c r="AV366" s="106"/>
      <c r="AW366" s="70"/>
    </row>
    <row r="367" spans="34:49" ht="12.75">
      <c r="AH367" s="106"/>
      <c r="AI367" s="106"/>
      <c r="AJ367" s="106"/>
      <c r="AK367" s="106"/>
      <c r="AL367" s="106"/>
      <c r="AM367" s="106"/>
      <c r="AN367" s="106"/>
      <c r="AO367" s="129"/>
      <c r="AP367" s="129"/>
      <c r="AQ367" s="106"/>
      <c r="AR367" s="106"/>
      <c r="AS367" s="106"/>
      <c r="AT367" s="106"/>
      <c r="AU367" s="106"/>
      <c r="AV367" s="106"/>
      <c r="AW367" s="70"/>
    </row>
    <row r="368" spans="34:49" ht="12.75">
      <c r="AH368" s="106"/>
      <c r="AI368" s="106"/>
      <c r="AJ368" s="106"/>
      <c r="AK368" s="106"/>
      <c r="AL368" s="106"/>
      <c r="AM368" s="106"/>
      <c r="AN368" s="106"/>
      <c r="AO368" s="129"/>
      <c r="AP368" s="129"/>
      <c r="AQ368" s="106"/>
      <c r="AR368" s="106"/>
      <c r="AS368" s="106"/>
      <c r="AT368" s="106"/>
      <c r="AU368" s="106"/>
      <c r="AV368" s="106"/>
      <c r="AW368" s="70"/>
    </row>
    <row r="369" spans="34:49" ht="12.75">
      <c r="AH369" s="106"/>
      <c r="AI369" s="129"/>
      <c r="AJ369" s="129"/>
      <c r="AK369" s="129"/>
      <c r="AL369" s="130"/>
      <c r="AM369" s="129"/>
      <c r="AN369" s="129"/>
      <c r="AO369" s="129"/>
      <c r="AP369" s="129"/>
      <c r="AQ369" s="129"/>
      <c r="AR369" s="129"/>
      <c r="AS369" s="129"/>
      <c r="AT369" s="129"/>
      <c r="AU369" s="129"/>
      <c r="AV369" s="129"/>
      <c r="AW369" s="70"/>
    </row>
    <row r="370" spans="34:49" ht="12.75">
      <c r="AH370" s="106"/>
      <c r="AI370" s="129"/>
      <c r="AJ370" s="129"/>
      <c r="AK370" s="129"/>
      <c r="AL370" s="130"/>
      <c r="AM370" s="129"/>
      <c r="AN370" s="129"/>
      <c r="AO370" s="129"/>
      <c r="AP370" s="129"/>
      <c r="AQ370" s="129"/>
      <c r="AR370" s="129"/>
      <c r="AS370" s="129"/>
      <c r="AT370" s="129"/>
      <c r="AU370" s="129"/>
      <c r="AV370" s="129"/>
      <c r="AW370" s="70"/>
    </row>
    <row r="371" spans="34:49" ht="12.75">
      <c r="AH371" s="106"/>
      <c r="AI371" s="129"/>
      <c r="AJ371" s="129"/>
      <c r="AK371" s="129"/>
      <c r="AL371" s="130"/>
      <c r="AM371" s="129"/>
      <c r="AN371" s="129"/>
      <c r="AO371" s="129"/>
      <c r="AP371" s="129"/>
      <c r="AQ371" s="129"/>
      <c r="AR371" s="129"/>
      <c r="AS371" s="129"/>
      <c r="AT371" s="129"/>
      <c r="AU371" s="129"/>
      <c r="AV371" s="129"/>
      <c r="AW371" s="70"/>
    </row>
    <row r="372" spans="34:49" ht="12.75">
      <c r="AH372" s="106"/>
      <c r="AI372" s="129"/>
      <c r="AJ372" s="129"/>
      <c r="AK372" s="129"/>
      <c r="AL372" s="129"/>
      <c r="AM372" s="129"/>
      <c r="AN372" s="129"/>
      <c r="AO372" s="129"/>
      <c r="AP372" s="129"/>
      <c r="AQ372" s="129"/>
      <c r="AR372" s="129"/>
      <c r="AS372" s="129"/>
      <c r="AT372" s="129"/>
      <c r="AU372" s="129"/>
      <c r="AV372" s="129"/>
      <c r="AW372" s="70"/>
    </row>
    <row r="373" spans="34:49" ht="12.75">
      <c r="AH373" s="106"/>
      <c r="AI373" s="106"/>
      <c r="AJ373" s="106"/>
      <c r="AK373" s="106"/>
      <c r="AL373" s="106"/>
      <c r="AM373" s="106"/>
      <c r="AN373" s="106"/>
      <c r="AO373" s="129"/>
      <c r="AP373" s="129"/>
      <c r="AQ373" s="106"/>
      <c r="AR373" s="106"/>
      <c r="AS373" s="106"/>
      <c r="AT373" s="106"/>
      <c r="AU373" s="106"/>
      <c r="AV373" s="106"/>
      <c r="AW373" s="70"/>
    </row>
    <row r="374" spans="34:49" ht="12.75">
      <c r="AH374" s="106"/>
      <c r="AI374" s="106"/>
      <c r="AJ374" s="106"/>
      <c r="AK374" s="106"/>
      <c r="AL374" s="106"/>
      <c r="AM374" s="106"/>
      <c r="AN374" s="106"/>
      <c r="AO374" s="129"/>
      <c r="AP374" s="129"/>
      <c r="AQ374" s="106"/>
      <c r="AR374" s="106"/>
      <c r="AS374" s="106"/>
      <c r="AT374" s="106"/>
      <c r="AU374" s="106"/>
      <c r="AV374" s="106"/>
      <c r="AW374" s="70"/>
    </row>
    <row r="375" spans="34:49" ht="12.75">
      <c r="AH375" s="106"/>
      <c r="AI375" s="106"/>
      <c r="AJ375" s="106"/>
      <c r="AK375" s="106"/>
      <c r="AL375" s="106"/>
      <c r="AM375" s="106"/>
      <c r="AN375" s="106"/>
      <c r="AO375" s="129"/>
      <c r="AP375" s="129"/>
      <c r="AQ375" s="106"/>
      <c r="AR375" s="106"/>
      <c r="AS375" s="106"/>
      <c r="AT375" s="106"/>
      <c r="AU375" s="106"/>
      <c r="AV375" s="106"/>
      <c r="AW375" s="70"/>
    </row>
    <row r="376" spans="34:49" ht="12.75">
      <c r="AH376" s="106"/>
      <c r="AI376" s="106"/>
      <c r="AJ376" s="106"/>
      <c r="AK376" s="106"/>
      <c r="AL376" s="106"/>
      <c r="AM376" s="106"/>
      <c r="AN376" s="106"/>
      <c r="AO376" s="129"/>
      <c r="AP376" s="129"/>
      <c r="AQ376" s="106"/>
      <c r="AR376" s="106"/>
      <c r="AS376" s="106"/>
      <c r="AT376" s="106"/>
      <c r="AU376" s="106"/>
      <c r="AV376" s="106"/>
      <c r="AW376" s="70"/>
    </row>
    <row r="377" spans="34:49" ht="12.75">
      <c r="AH377" s="106"/>
      <c r="AI377" s="106"/>
      <c r="AJ377" s="106"/>
      <c r="AK377" s="106"/>
      <c r="AL377" s="106"/>
      <c r="AM377" s="106"/>
      <c r="AN377" s="106"/>
      <c r="AO377" s="129"/>
      <c r="AP377" s="129"/>
      <c r="AQ377" s="106"/>
      <c r="AR377" s="106"/>
      <c r="AS377" s="106"/>
      <c r="AT377" s="106"/>
      <c r="AU377" s="106"/>
      <c r="AV377" s="106"/>
      <c r="AW377" s="70"/>
    </row>
    <row r="378" spans="34:49" ht="12.75">
      <c r="AH378" s="106"/>
      <c r="AI378" s="106"/>
      <c r="AJ378" s="106"/>
      <c r="AK378" s="106"/>
      <c r="AL378" s="106"/>
      <c r="AM378" s="106"/>
      <c r="AN378" s="106"/>
      <c r="AO378" s="129"/>
      <c r="AP378" s="129"/>
      <c r="AQ378" s="106"/>
      <c r="AR378" s="106"/>
      <c r="AS378" s="106"/>
      <c r="AT378" s="106"/>
      <c r="AU378" s="106"/>
      <c r="AV378" s="106"/>
      <c r="AW378" s="70"/>
    </row>
    <row r="379" spans="34:49" ht="12.75">
      <c r="AH379" s="106"/>
      <c r="AI379" s="106"/>
      <c r="AJ379" s="106"/>
      <c r="AK379" s="106"/>
      <c r="AL379" s="106"/>
      <c r="AM379" s="106"/>
      <c r="AN379" s="106"/>
      <c r="AO379" s="129"/>
      <c r="AP379" s="129"/>
      <c r="AQ379" s="106"/>
      <c r="AR379" s="106"/>
      <c r="AS379" s="106"/>
      <c r="AT379" s="106"/>
      <c r="AU379" s="106"/>
      <c r="AV379" s="106"/>
      <c r="AW379" s="70"/>
    </row>
  </sheetData>
  <sheetProtection sheet="1" objects="1" scenarios="1"/>
  <conditionalFormatting sqref="BB143 BB129 BE7:BE10 BE12:BE15 BE17 BE19:BE21 BB54 BB61 BB64 BB70 BB84 BB90 BB93 BB99 BB108 BB136">
    <cfRule type="cellIs" priority="1" dxfId="0" operator="greaterThan" stopIfTrue="1">
      <formula>1</formula>
    </cfRule>
  </conditionalFormatting>
  <conditionalFormatting sqref="R133 E139">
    <cfRule type="cellIs" priority="2" dxfId="0" operator="notEqual" stopIfTrue="1">
      <formula>"OK"</formula>
    </cfRule>
  </conditionalFormatting>
  <dataValidations count="14">
    <dataValidation type="list" allowBlank="1" showInputMessage="1" showErrorMessage="1" sqref="C12">
      <formula1>$L$3:$L$5</formula1>
    </dataValidation>
    <dataValidation type="list" allowBlank="1" showInputMessage="1" showErrorMessage="1" prompt="Input the total number of wheels, 'Nw', for the trolley, considered in pairs of wheels, one each side of the web of the monorail beam.  Nw = 2 indicates 1-pair of wheels, while Nw = 4 indicates 2-pairs of wheels." sqref="C24">
      <formula1>$L$6:$L$7</formula1>
    </dataValidation>
    <dataValidation type="list" allowBlank="1" showInputMessage="1" showErrorMessage="1" prompt="User may either select desired size from pick box or type in the size designation.  Note:  input is not case sensitive." sqref="C10">
      <formula1>$AH$5:$AH$35</formula1>
    </dataValidation>
    <dataValidation type="decimal" operator="greaterThan" allowBlank="1" showInputMessage="1" showErrorMessage="1" sqref="C19">
      <formula1>0</formula1>
    </dataValidation>
    <dataValidation type="decimal" operator="greaterThanOrEqual" allowBlank="1" showInputMessage="1" showErrorMessage="1" sqref="C16 C20:C21">
      <formula1>0</formula1>
    </dataValidation>
    <dataValidation type="decimal" operator="greaterThan" allowBlank="1" showInputMessage="1" showErrorMessage="1" prompt="'Lb' is the unbraced length of the simple-span portion of the monorail beam.  Typically 'Lb' = 'L'." error="Simple-span unbraced length, 'Lb', must be &gt; 0" sqref="C14">
      <formula1>0</formula1>
    </dataValidation>
    <dataValidation type="decimal" operator="greaterThanOrEqual" allowBlank="1" showInputMessage="1" showErrorMessage="1" prompt="'Lbo' is the unbraced length of the overhang (cantilever) portion of the monorail beam.  The user may elect to input a value of Lbo = Lo+L from cell BC26, along with inputting the corresponding calculated value of 'Cbo' from cell BC28." sqref="C17">
      <formula1>0</formula1>
    </dataValidation>
    <dataValidation type="decimal" operator="greaterThanOrEqual" allowBlank="1" showInputMessage="1" showErrorMessage="1" prompt="The distance 'a' is the distance from the edge of the beam flange to the point of wheel load application, which is assumed at the center of the wheel contact to the bottom flange." sqref="C26">
      <formula1>0</formula1>
    </dataValidation>
    <dataValidation type="decimal" operator="greaterThanOrEqual" allowBlank="1" showInputMessage="1" showErrorMessage="1" prompt="Typically the value of the vertical impact factor, 'Vi', to be used is 10 - 25%." sqref="C22">
      <formula1>0</formula1>
    </dataValidation>
    <dataValidation type="decimal" operator="greaterThanOrEqual" allowBlank="1" showInputMessage="1" showErrorMessage="1" prompt="Typically the value of the horizontal load factor, 'HLF', to be used is 0 - 10%." sqref="C23">
      <formula1>0</formula1>
    </dataValidation>
    <dataValidation type="decimal" operator="greaterThan" allowBlank="1" showInputMessage="1" showErrorMessage="1" prompt="The value of the bending coefficient, 'Cbo', applicable to the overhang (cantilever) portion of the monorail beam may be assumed to be = 1.0.  However, the user may wish to use and input the computed value of 'Cbo' from cell BC28.  " sqref="C18">
      <formula1>0</formula1>
    </dataValidation>
    <dataValidation type="decimal" operator="greaterThan" allowBlank="1" showInputMessage="1" showErrorMessage="1" prompt="The value of the bending coefficient, 'Cb', applicable to the simple-span portion of the monorail beam typically may be assumed to be = 1.0." sqref="C15">
      <formula1>0</formula1>
    </dataValidation>
    <dataValidation type="decimal" operator="greaterThan" allowBlank="1" showInputMessage="1" showErrorMessage="1" error="Beam simple-span, 'L', must be &gt; 0" sqref="C13">
      <formula1>0</formula1>
    </dataValidation>
    <dataValidation type="decimal" operator="greaterThanOrEqual" allowBlank="1" showInputMessage="1" showErrorMessage="1" prompt="Wheel Spacing, S, is the distance between 2-pairs of wheels of the trolley in the direction of the monorail beam span.  &#10;For a trolley with only 1-pair of wheels  (1 wheel on each side of web of monorail beam), the user should input a value of S = 0." sqref="C25">
      <formula1>0</formula1>
    </dataValidation>
  </dataValidations>
  <printOptions/>
  <pageMargins left="1" right="0.5" top="1" bottom="1" header="0.5" footer="0.5"/>
  <pageSetup horizontalDpi="600" verticalDpi="600" orientation="portrait" scale="94" r:id="rId4"/>
  <headerFooter alignWithMargins="0">
    <oddHeader>&amp;R"MONORAIL.xls" Program
Version 2.1</oddHeader>
    <oddFooter>&amp;C&amp;P of &amp;N&amp;R&amp;D  &amp;T</oddFooter>
  </headerFooter>
  <rowBreaks count="2" manualBreakCount="2">
    <brk id="55" max="9" man="1"/>
    <brk id="110" max="9" man="1"/>
  </rowBreaks>
  <drawing r:id="rId3"/>
  <legacyDrawing r:id="rId2"/>
</worksheet>
</file>

<file path=xl/worksheets/sheet3.xml><?xml version="1.0" encoding="utf-8"?>
<worksheet xmlns="http://schemas.openxmlformats.org/spreadsheetml/2006/main" xmlns:r="http://schemas.openxmlformats.org/officeDocument/2006/relationships">
  <dimension ref="A1:BG379"/>
  <sheetViews>
    <sheetView workbookViewId="0" topLeftCell="A1">
      <selection activeCell="A1" sqref="A1"/>
    </sheetView>
  </sheetViews>
  <sheetFormatPr defaultColWidth="9.140625" defaultRowHeight="12.75"/>
  <cols>
    <col min="1" max="1" width="12.28125" style="2" customWidth="1"/>
    <col min="2" max="7" width="9.140625" style="2" customWidth="1"/>
    <col min="8" max="8" width="8.57421875" style="2" customWidth="1"/>
    <col min="9" max="9" width="9.140625" style="2" customWidth="1"/>
    <col min="10" max="10" width="8.421875" style="81" customWidth="1"/>
    <col min="11" max="15" width="9.140625" style="62" hidden="1" customWidth="1"/>
    <col min="16" max="16" width="10.7109375" style="154" hidden="1" customWidth="1"/>
    <col min="17" max="23" width="9.140625" style="62" hidden="1" customWidth="1"/>
    <col min="24" max="24" width="14.421875" style="62" hidden="1" customWidth="1"/>
    <col min="25" max="33" width="9.140625" style="62" hidden="1" customWidth="1"/>
    <col min="34" max="34" width="9.140625" style="43" hidden="1" customWidth="1"/>
    <col min="35" max="35" width="9.140625" style="29" hidden="1" customWidth="1"/>
    <col min="36" max="43" width="9.140625" style="43" hidden="1" customWidth="1"/>
    <col min="44" max="48" width="9.140625" style="2" hidden="1" customWidth="1"/>
    <col min="49" max="49" width="9.140625" style="72" hidden="1" customWidth="1"/>
    <col min="50" max="52" width="9.140625" style="2" hidden="1" customWidth="1"/>
    <col min="53" max="57" width="9.140625" style="2" customWidth="1"/>
    <col min="58" max="59" width="11.7109375" style="2" customWidth="1"/>
    <col min="60" max="16384" width="9.140625" style="2" customWidth="1"/>
  </cols>
  <sheetData>
    <row r="1" spans="1:53" ht="15.75">
      <c r="A1" s="51" t="s">
        <v>72</v>
      </c>
      <c r="B1" s="52"/>
      <c r="C1" s="53"/>
      <c r="D1" s="53"/>
      <c r="E1" s="53"/>
      <c r="F1" s="53"/>
      <c r="G1" s="52"/>
      <c r="H1" s="52"/>
      <c r="I1" s="52"/>
      <c r="J1" s="61"/>
      <c r="L1" s="63"/>
      <c r="N1" s="108" t="s">
        <v>95</v>
      </c>
      <c r="O1" s="109"/>
      <c r="P1" s="110"/>
      <c r="R1" s="64"/>
      <c r="AH1" s="29"/>
      <c r="BA1" s="193" t="s">
        <v>980</v>
      </c>
    </row>
    <row r="2" spans="1:36" ht="12.75">
      <c r="A2" s="54" t="s">
        <v>299</v>
      </c>
      <c r="B2" s="55"/>
      <c r="C2" s="56"/>
      <c r="D2" s="55"/>
      <c r="E2" s="55"/>
      <c r="F2" s="55"/>
      <c r="G2" s="57"/>
      <c r="H2" s="57"/>
      <c r="I2" s="57"/>
      <c r="J2" s="65"/>
      <c r="L2" s="63"/>
      <c r="M2" s="78"/>
      <c r="N2" s="122"/>
      <c r="O2" s="122"/>
      <c r="P2" s="112"/>
      <c r="Q2" s="78"/>
      <c r="R2" s="78"/>
      <c r="S2" s="78"/>
      <c r="T2" s="78"/>
      <c r="AI2" s="30"/>
      <c r="AJ2" s="30"/>
    </row>
    <row r="3" spans="1:51" ht="12.75">
      <c r="A3" s="58" t="s">
        <v>152</v>
      </c>
      <c r="B3" s="59"/>
      <c r="C3" s="59"/>
      <c r="D3" s="59"/>
      <c r="E3" s="59"/>
      <c r="F3" s="59"/>
      <c r="G3" s="60"/>
      <c r="H3" s="60"/>
      <c r="I3" s="60"/>
      <c r="J3" s="66"/>
      <c r="L3" s="72">
        <v>33</v>
      </c>
      <c r="M3" s="111"/>
      <c r="N3" s="108" t="s">
        <v>82</v>
      </c>
      <c r="AH3" s="3" t="s">
        <v>622</v>
      </c>
      <c r="AI3" s="4"/>
      <c r="AJ3" s="4"/>
      <c r="AK3" s="4"/>
      <c r="AL3" s="4"/>
      <c r="AM3" s="4"/>
      <c r="AN3" s="4"/>
      <c r="AO3" s="4"/>
      <c r="AP3" s="4"/>
      <c r="AQ3" s="4"/>
      <c r="AR3" s="4"/>
      <c r="AS3" s="4"/>
      <c r="AT3" s="4"/>
      <c r="AU3" s="4"/>
      <c r="AV3" s="4"/>
      <c r="AW3" s="151"/>
      <c r="AX3" s="152"/>
      <c r="AY3" s="125"/>
    </row>
    <row r="4" spans="1:57" ht="12.75">
      <c r="A4" s="31" t="s">
        <v>74</v>
      </c>
      <c r="B4" s="32"/>
      <c r="C4" s="33"/>
      <c r="D4" s="33"/>
      <c r="E4" s="33"/>
      <c r="F4" s="34" t="s">
        <v>75</v>
      </c>
      <c r="G4" s="35"/>
      <c r="H4" s="36"/>
      <c r="I4" s="36"/>
      <c r="J4" s="37"/>
      <c r="L4" s="72">
        <v>36</v>
      </c>
      <c r="M4" s="111"/>
      <c r="N4" s="136" t="s">
        <v>94</v>
      </c>
      <c r="O4" s="297" t="str">
        <f>VLOOKUP($C$10,$AH$5:$AY$320,18,FALSE)</f>
        <v>50</v>
      </c>
      <c r="P4" s="111" t="s">
        <v>93</v>
      </c>
      <c r="Q4" s="78" t="s">
        <v>951</v>
      </c>
      <c r="U4" s="67"/>
      <c r="AH4" s="5" t="s">
        <v>27</v>
      </c>
      <c r="AI4" s="9" t="s">
        <v>28</v>
      </c>
      <c r="AJ4" s="9" t="s">
        <v>29</v>
      </c>
      <c r="AK4" s="9" t="s">
        <v>30</v>
      </c>
      <c r="AL4" s="9" t="s">
        <v>31</v>
      </c>
      <c r="AM4" s="9" t="s">
        <v>32</v>
      </c>
      <c r="AN4" s="9" t="s">
        <v>198</v>
      </c>
      <c r="AO4" s="9" t="s">
        <v>33</v>
      </c>
      <c r="AP4" s="9" t="s">
        <v>34</v>
      </c>
      <c r="AQ4" s="9" t="s">
        <v>35</v>
      </c>
      <c r="AR4" s="9" t="s">
        <v>36</v>
      </c>
      <c r="AS4" s="9" t="s">
        <v>37</v>
      </c>
      <c r="AT4" s="9" t="s">
        <v>38</v>
      </c>
      <c r="AU4" s="9" t="s">
        <v>39</v>
      </c>
      <c r="AV4" s="9" t="s">
        <v>40</v>
      </c>
      <c r="AW4" s="124" t="s">
        <v>153</v>
      </c>
      <c r="AX4" s="124" t="s">
        <v>154</v>
      </c>
      <c r="AY4" s="124" t="s">
        <v>130</v>
      </c>
      <c r="BA4" s="194" t="s">
        <v>222</v>
      </c>
      <c r="BB4" s="78"/>
      <c r="BC4" s="78"/>
      <c r="BD4" s="78"/>
      <c r="BE4" s="63"/>
    </row>
    <row r="5" spans="1:57" ht="12.75">
      <c r="A5" s="31" t="s">
        <v>76</v>
      </c>
      <c r="B5" s="38"/>
      <c r="C5" s="39"/>
      <c r="D5" s="39"/>
      <c r="E5" s="39"/>
      <c r="F5" s="40" t="s">
        <v>77</v>
      </c>
      <c r="G5" s="35"/>
      <c r="H5" s="41"/>
      <c r="I5" s="42" t="s">
        <v>78</v>
      </c>
      <c r="J5" s="37"/>
      <c r="L5" s="72">
        <v>50</v>
      </c>
      <c r="M5" s="111"/>
      <c r="N5" s="136" t="s">
        <v>132</v>
      </c>
      <c r="O5" s="73">
        <f>$C$19*(1+$C$22/100)+$C$20+$C$21</f>
        <v>7.3999999999999995</v>
      </c>
      <c r="P5" s="155" t="s">
        <v>7</v>
      </c>
      <c r="Q5" s="111" t="s">
        <v>286</v>
      </c>
      <c r="R5" s="78"/>
      <c r="S5" s="78"/>
      <c r="T5" s="78"/>
      <c r="U5" s="72"/>
      <c r="AH5" s="243" t="s">
        <v>300</v>
      </c>
      <c r="AI5" s="244">
        <v>98.3</v>
      </c>
      <c r="AJ5" s="244">
        <v>44</v>
      </c>
      <c r="AK5" s="244">
        <v>1.02</v>
      </c>
      <c r="AL5" s="244">
        <v>16</v>
      </c>
      <c r="AM5" s="244">
        <v>1.77</v>
      </c>
      <c r="AN5" s="244">
        <v>2.56</v>
      </c>
      <c r="AO5" s="245">
        <v>4.12</v>
      </c>
      <c r="AP5" s="245">
        <v>1.56</v>
      </c>
      <c r="AQ5" s="244">
        <v>31100</v>
      </c>
      <c r="AR5" s="244">
        <v>1410</v>
      </c>
      <c r="AS5" s="244">
        <v>17.8</v>
      </c>
      <c r="AT5" s="244">
        <v>1200</v>
      </c>
      <c r="AU5" s="244">
        <v>151</v>
      </c>
      <c r="AV5" s="244">
        <v>3.5</v>
      </c>
      <c r="AW5" s="244">
        <v>74.4</v>
      </c>
      <c r="AX5" s="244">
        <v>536000</v>
      </c>
      <c r="AY5" s="246" t="s">
        <v>623</v>
      </c>
      <c r="BA5" s="195" t="s">
        <v>223</v>
      </c>
      <c r="BB5" s="196" t="s">
        <v>11</v>
      </c>
      <c r="BC5" s="78"/>
      <c r="BD5" s="78"/>
      <c r="BE5" s="197" t="s">
        <v>224</v>
      </c>
    </row>
    <row r="6" spans="1:57" ht="12.75">
      <c r="A6" s="103"/>
      <c r="B6" s="87"/>
      <c r="C6" s="87"/>
      <c r="D6" s="87"/>
      <c r="E6" s="87"/>
      <c r="F6" s="87"/>
      <c r="G6" s="87"/>
      <c r="H6" s="87"/>
      <c r="I6" s="88"/>
      <c r="J6" s="89"/>
      <c r="L6" s="72">
        <v>2</v>
      </c>
      <c r="M6" s="111"/>
      <c r="N6" s="136" t="s">
        <v>234</v>
      </c>
      <c r="O6" s="73">
        <f>$O$5/$C$24</f>
        <v>1.8499999999999999</v>
      </c>
      <c r="P6" s="155" t="s">
        <v>12</v>
      </c>
      <c r="Q6" s="137" t="s">
        <v>235</v>
      </c>
      <c r="R6" s="78"/>
      <c r="S6" s="78"/>
      <c r="T6" s="78"/>
      <c r="U6" s="1"/>
      <c r="AH6" s="243" t="s">
        <v>301</v>
      </c>
      <c r="AI6" s="244">
        <v>85.8</v>
      </c>
      <c r="AJ6" s="244">
        <v>43.6</v>
      </c>
      <c r="AK6" s="244">
        <v>0.87</v>
      </c>
      <c r="AL6" s="244">
        <v>15.8</v>
      </c>
      <c r="AM6" s="244">
        <v>1.58</v>
      </c>
      <c r="AN6" s="244">
        <v>2.37</v>
      </c>
      <c r="AO6" s="245">
        <v>4.1</v>
      </c>
      <c r="AP6" s="245">
        <v>1.74</v>
      </c>
      <c r="AQ6" s="244">
        <v>27100</v>
      </c>
      <c r="AR6" s="244">
        <v>1240</v>
      </c>
      <c r="AS6" s="244">
        <v>17.8</v>
      </c>
      <c r="AT6" s="244">
        <v>1050</v>
      </c>
      <c r="AU6" s="244">
        <v>132</v>
      </c>
      <c r="AV6" s="244">
        <v>3.49</v>
      </c>
      <c r="AW6" s="244">
        <v>51.5</v>
      </c>
      <c r="AX6" s="244">
        <v>464000</v>
      </c>
      <c r="AY6" s="246" t="s">
        <v>624</v>
      </c>
      <c r="BA6" s="198" t="s">
        <v>226</v>
      </c>
      <c r="BB6" s="78"/>
      <c r="BC6" s="78"/>
      <c r="BD6" s="78"/>
      <c r="BE6" s="199"/>
    </row>
    <row r="7" spans="1:57" ht="12.75">
      <c r="A7" s="82" t="s">
        <v>10</v>
      </c>
      <c r="B7" s="92"/>
      <c r="C7" s="93"/>
      <c r="D7" s="94"/>
      <c r="E7" s="93"/>
      <c r="F7" s="92"/>
      <c r="G7" s="92"/>
      <c r="H7" s="92"/>
      <c r="I7" s="92"/>
      <c r="J7" s="89"/>
      <c r="L7" s="72">
        <v>4</v>
      </c>
      <c r="M7" s="111"/>
      <c r="N7" s="136" t="s">
        <v>133</v>
      </c>
      <c r="O7" s="73">
        <f>$C$23/100*$C$19</f>
        <v>0.6000000000000001</v>
      </c>
      <c r="P7" s="155" t="s">
        <v>7</v>
      </c>
      <c r="Q7" s="78" t="s">
        <v>213</v>
      </c>
      <c r="R7" s="78"/>
      <c r="S7" s="78"/>
      <c r="T7" s="78"/>
      <c r="U7" s="1"/>
      <c r="AH7" s="243" t="s">
        <v>302</v>
      </c>
      <c r="AI7" s="245">
        <v>83.8</v>
      </c>
      <c r="AJ7" s="245">
        <v>44.02</v>
      </c>
      <c r="AK7" s="245">
        <v>1.024</v>
      </c>
      <c r="AL7" s="247">
        <v>11.811</v>
      </c>
      <c r="AM7" s="245">
        <v>1.772</v>
      </c>
      <c r="AN7" s="245">
        <v>2.6875</v>
      </c>
      <c r="AO7" s="245">
        <v>2.95</v>
      </c>
      <c r="AP7" s="245">
        <v>2.1</v>
      </c>
      <c r="AQ7" s="245">
        <v>24600</v>
      </c>
      <c r="AR7" s="245">
        <v>1120</v>
      </c>
      <c r="AS7" s="245">
        <v>17.1</v>
      </c>
      <c r="AT7" s="245">
        <v>490</v>
      </c>
      <c r="AU7" s="245">
        <v>83</v>
      </c>
      <c r="AV7" s="245">
        <v>2.42</v>
      </c>
      <c r="AW7" s="245">
        <v>60</v>
      </c>
      <c r="AX7" s="245">
        <v>219000</v>
      </c>
      <c r="AY7" s="246" t="s">
        <v>625</v>
      </c>
      <c r="BA7" s="200">
        <v>54</v>
      </c>
      <c r="BB7" s="207" t="str">
        <f>IF($B$52&lt;=$B$54,"fbx &lt;= Fbx,  O.K.","fbx &gt; Fbx")</f>
        <v>fbx &lt;= Fbx,  O.K.</v>
      </c>
      <c r="BC7" s="78"/>
      <c r="BD7" s="78"/>
      <c r="BE7" s="199">
        <f>$B$52/$B$54</f>
        <v>0.2759014745809409</v>
      </c>
    </row>
    <row r="8" spans="1:57" ht="12.75">
      <c r="A8" s="83"/>
      <c r="B8" s="92"/>
      <c r="C8" s="92"/>
      <c r="D8" s="92"/>
      <c r="E8" s="182" t="str">
        <f>"RL(min)="&amp;ROUND(IF($C$16=0,$O$21,$O$24),2)&amp;" k"</f>
        <v>RL(min)=-0.73 k</v>
      </c>
      <c r="F8" s="64"/>
      <c r="G8" s="64"/>
      <c r="H8" s="182" t="str">
        <f>"RR(max)="&amp;ROUND(IF($C$16=0,$O$20,$O$23),2)&amp;" k"</f>
        <v>RR(max)=9.13 k</v>
      </c>
      <c r="I8" s="64"/>
      <c r="J8" s="150"/>
      <c r="L8" s="63"/>
      <c r="M8" s="111"/>
      <c r="N8" s="136" t="s">
        <v>5</v>
      </c>
      <c r="O8" s="73">
        <f>$F$23</f>
        <v>0.64</v>
      </c>
      <c r="P8" s="155" t="s">
        <v>8</v>
      </c>
      <c r="Q8" s="137" t="s">
        <v>858</v>
      </c>
      <c r="R8" s="78"/>
      <c r="S8" s="78"/>
      <c r="T8" s="78"/>
      <c r="U8" s="1"/>
      <c r="AH8" s="243" t="s">
        <v>303</v>
      </c>
      <c r="AI8" s="244">
        <v>77.2</v>
      </c>
      <c r="AJ8" s="244">
        <v>43.3</v>
      </c>
      <c r="AK8" s="244">
        <v>0.79</v>
      </c>
      <c r="AL8" s="244">
        <v>15.8</v>
      </c>
      <c r="AM8" s="244">
        <v>1.42</v>
      </c>
      <c r="AN8" s="244">
        <v>2.21</v>
      </c>
      <c r="AO8" s="245">
        <v>4.07</v>
      </c>
      <c r="AP8" s="245">
        <v>1.94</v>
      </c>
      <c r="AQ8" s="244">
        <v>24200</v>
      </c>
      <c r="AR8" s="244">
        <v>1120</v>
      </c>
      <c r="AS8" s="244">
        <v>17.7</v>
      </c>
      <c r="AT8" s="244">
        <v>927</v>
      </c>
      <c r="AU8" s="244">
        <v>118</v>
      </c>
      <c r="AV8" s="244">
        <v>3.46</v>
      </c>
      <c r="AW8" s="244">
        <v>37.7</v>
      </c>
      <c r="AX8" s="244">
        <v>407000</v>
      </c>
      <c r="AY8" s="246" t="s">
        <v>626</v>
      </c>
      <c r="BA8" s="200">
        <v>61</v>
      </c>
      <c r="BB8" s="207" t="str">
        <f>IF($B$60&lt;=$B$61,"fby &lt;= Fby,  O.K.","fby &gt; Fby")</f>
        <v>fby &lt;= Fby,  O.K.</v>
      </c>
      <c r="BC8" s="78"/>
      <c r="BD8" s="201"/>
      <c r="BE8" s="199">
        <f>$B$60/$B$61</f>
        <v>0.12106296155491068</v>
      </c>
    </row>
    <row r="9" spans="1:57" ht="12.75">
      <c r="A9" s="84" t="s">
        <v>208</v>
      </c>
      <c r="B9" s="44"/>
      <c r="C9" s="44"/>
      <c r="D9" s="64"/>
      <c r="E9" s="71"/>
      <c r="F9" s="182" t="str">
        <f>"     L="&amp;$C$13&amp;"'"</f>
        <v>     L=17'</v>
      </c>
      <c r="G9" s="64"/>
      <c r="H9" s="182" t="str">
        <f>"              Lo="&amp;$C$16&amp;"'"</f>
        <v>              Lo=3'</v>
      </c>
      <c r="I9" s="64"/>
      <c r="J9" s="150"/>
      <c r="L9" s="63"/>
      <c r="M9" s="111"/>
      <c r="N9" s="138" t="s">
        <v>135</v>
      </c>
      <c r="O9" s="73">
        <f>2*$C$26/($F$22-$F$21)</f>
        <v>0.09727626459143969</v>
      </c>
      <c r="P9" s="155"/>
      <c r="Q9" s="139" t="s">
        <v>136</v>
      </c>
      <c r="R9" s="78"/>
      <c r="S9" s="78"/>
      <c r="T9" s="78"/>
      <c r="U9" s="1"/>
      <c r="AH9" s="243" t="s">
        <v>304</v>
      </c>
      <c r="AI9" s="245">
        <v>72.8</v>
      </c>
      <c r="AJ9" s="245">
        <v>43.62</v>
      </c>
      <c r="AK9" s="245">
        <v>0.865</v>
      </c>
      <c r="AL9" s="247">
        <v>11.811</v>
      </c>
      <c r="AM9" s="245">
        <v>1.575</v>
      </c>
      <c r="AN9" s="245">
        <v>2.5</v>
      </c>
      <c r="AO9" s="245">
        <v>2.96</v>
      </c>
      <c r="AP9" s="245">
        <v>2.34</v>
      </c>
      <c r="AQ9" s="245">
        <v>21400</v>
      </c>
      <c r="AR9" s="245">
        <v>983</v>
      </c>
      <c r="AS9" s="245">
        <v>17.2</v>
      </c>
      <c r="AT9" s="245">
        <v>435</v>
      </c>
      <c r="AU9" s="245">
        <v>74</v>
      </c>
      <c r="AV9" s="245">
        <v>2.44</v>
      </c>
      <c r="AW9" s="245">
        <v>40.7</v>
      </c>
      <c r="AX9" s="245">
        <v>192000</v>
      </c>
      <c r="AY9" s="246" t="s">
        <v>627</v>
      </c>
      <c r="BA9" s="209">
        <v>64</v>
      </c>
      <c r="BB9" s="162" t="str">
        <f>IF($B$64&lt;=1,"S.R.(combined) &lt;= 1.0,  O.K.","S.R.(combined) &gt; 1.0")</f>
        <v>S.R.(combined) &lt;= 1.0,  O.K.</v>
      </c>
      <c r="BE9" s="199">
        <f>$B$64</f>
        <v>0.3969644361358516</v>
      </c>
    </row>
    <row r="10" spans="1:57" ht="12.75">
      <c r="A10" s="83"/>
      <c r="B10" s="47" t="s">
        <v>79</v>
      </c>
      <c r="C10" s="225" t="s">
        <v>570</v>
      </c>
      <c r="D10" s="44"/>
      <c r="E10" s="189" t="str">
        <f>"  x="&amp;ROUND($B$42,3)&amp;"'"</f>
        <v>  x=8.313'</v>
      </c>
      <c r="F10" s="44"/>
      <c r="G10" s="44"/>
      <c r="H10" s="44"/>
      <c r="I10" s="44"/>
      <c r="J10" s="76"/>
      <c r="L10" s="63"/>
      <c r="M10" s="111"/>
      <c r="N10" s="136" t="s">
        <v>2</v>
      </c>
      <c r="O10" s="73">
        <f>-2.11+1.977*$O$9+0.0076*EXP(6.53*$O$9)</f>
        <v>-1.9033403871347845</v>
      </c>
      <c r="P10" s="155"/>
      <c r="Q10" s="137" t="s">
        <v>854</v>
      </c>
      <c r="R10" s="78"/>
      <c r="S10" s="78"/>
      <c r="T10" s="78"/>
      <c r="U10" s="1"/>
      <c r="AH10" s="243" t="s">
        <v>305</v>
      </c>
      <c r="AI10" s="244">
        <v>67.7</v>
      </c>
      <c r="AJ10" s="244">
        <v>42.9</v>
      </c>
      <c r="AK10" s="244">
        <v>0.71</v>
      </c>
      <c r="AL10" s="244">
        <v>15.8</v>
      </c>
      <c r="AM10" s="244">
        <v>1.22</v>
      </c>
      <c r="AN10" s="244">
        <v>2.01</v>
      </c>
      <c r="AO10" s="245">
        <v>4.05</v>
      </c>
      <c r="AP10" s="245">
        <v>2.23</v>
      </c>
      <c r="AQ10" s="244">
        <v>20800</v>
      </c>
      <c r="AR10" s="244">
        <v>971</v>
      </c>
      <c r="AS10" s="244">
        <v>17.5</v>
      </c>
      <c r="AT10" s="244">
        <v>796</v>
      </c>
      <c r="AU10" s="244">
        <v>101</v>
      </c>
      <c r="AV10" s="244">
        <v>3.43</v>
      </c>
      <c r="AW10" s="244">
        <v>24.9</v>
      </c>
      <c r="AX10" s="244">
        <v>346000</v>
      </c>
      <c r="AY10" s="246" t="s">
        <v>628</v>
      </c>
      <c r="BA10" s="208">
        <v>70</v>
      </c>
      <c r="BB10" s="162" t="str">
        <f>IF($B$68&lt;=$B$70,"Defl.(max) &lt;= Defl.(allow),  O.K.","Defl.(max) &gt; Defl.(allow)")</f>
        <v>Defl.(max) &lt;= Defl.(allow),  O.K.</v>
      </c>
      <c r="BE10" s="199">
        <f>$B$68/$B$70</f>
        <v>0.24128645931954004</v>
      </c>
    </row>
    <row r="11" spans="1:53" ht="12.75">
      <c r="A11" s="84" t="s">
        <v>80</v>
      </c>
      <c r="B11" s="44"/>
      <c r="C11" s="44"/>
      <c r="D11" s="95"/>
      <c r="E11" s="179"/>
      <c r="F11" s="183" t="str">
        <f>"           S="&amp;$C$25&amp;"'"</f>
        <v>           S=0.75'</v>
      </c>
      <c r="G11" s="120"/>
      <c r="H11" s="180"/>
      <c r="I11" s="180"/>
      <c r="J11" s="177"/>
      <c r="L11" s="63"/>
      <c r="M11" s="111"/>
      <c r="N11" s="136" t="s">
        <v>6</v>
      </c>
      <c r="O11" s="73">
        <f>10.108-7.408*$O$9-10.108*EXP(-1.364*$O$9)</f>
        <v>0.5353867934721723</v>
      </c>
      <c r="P11" s="155"/>
      <c r="Q11" s="137" t="s">
        <v>853</v>
      </c>
      <c r="R11" s="78"/>
      <c r="S11" s="78"/>
      <c r="T11" s="78"/>
      <c r="U11" s="1"/>
      <c r="V11" s="75"/>
      <c r="W11" s="75"/>
      <c r="AH11" s="243" t="s">
        <v>306</v>
      </c>
      <c r="AI11" s="245">
        <v>65.8</v>
      </c>
      <c r="AJ11" s="245">
        <v>43.31</v>
      </c>
      <c r="AK11" s="245">
        <v>0.787</v>
      </c>
      <c r="AL11" s="247">
        <v>11.811</v>
      </c>
      <c r="AM11" s="245">
        <v>1.416</v>
      </c>
      <c r="AN11" s="245">
        <v>2.3125</v>
      </c>
      <c r="AO11" s="245">
        <v>2.96</v>
      </c>
      <c r="AP11" s="245">
        <v>2.59</v>
      </c>
      <c r="AQ11" s="245">
        <v>19200</v>
      </c>
      <c r="AR11" s="245">
        <v>889</v>
      </c>
      <c r="AS11" s="245">
        <v>17.1</v>
      </c>
      <c r="AT11" s="245">
        <v>391</v>
      </c>
      <c r="AU11" s="245">
        <v>66</v>
      </c>
      <c r="AV11" s="245">
        <v>2.44</v>
      </c>
      <c r="AW11" s="245">
        <v>30</v>
      </c>
      <c r="AX11" s="245">
        <v>172000</v>
      </c>
      <c r="AY11" s="246" t="s">
        <v>629</v>
      </c>
      <c r="BA11" s="198" t="s">
        <v>227</v>
      </c>
    </row>
    <row r="12" spans="1:57" ht="12.75">
      <c r="A12" s="83"/>
      <c r="B12" s="50" t="s">
        <v>26</v>
      </c>
      <c r="C12" s="217">
        <v>36</v>
      </c>
      <c r="D12" s="104" t="s">
        <v>9</v>
      </c>
      <c r="E12" s="50"/>
      <c r="F12" s="44"/>
      <c r="G12" s="44"/>
      <c r="H12" s="44"/>
      <c r="I12" s="44"/>
      <c r="J12" s="178"/>
      <c r="L12" s="63"/>
      <c r="N12" s="136" t="s">
        <v>245</v>
      </c>
      <c r="O12" s="73">
        <f>0.05-0.58*$O$9+0.148*EXP(3.015*$O$9)</f>
        <v>0.19202243042818046</v>
      </c>
      <c r="P12" s="155"/>
      <c r="Q12" s="137" t="s">
        <v>855</v>
      </c>
      <c r="R12" s="78"/>
      <c r="S12" s="78"/>
      <c r="T12" s="78"/>
      <c r="U12" s="1"/>
      <c r="V12" s="75"/>
      <c r="W12" s="75"/>
      <c r="AH12" s="243" t="s">
        <v>307</v>
      </c>
      <c r="AI12" s="245">
        <v>58</v>
      </c>
      <c r="AJ12" s="245">
        <v>42.91</v>
      </c>
      <c r="AK12" s="245">
        <v>0.709</v>
      </c>
      <c r="AL12" s="247">
        <v>11.811</v>
      </c>
      <c r="AM12" s="245">
        <v>1.22</v>
      </c>
      <c r="AN12" s="245">
        <v>2.125</v>
      </c>
      <c r="AO12" s="245">
        <v>2.94</v>
      </c>
      <c r="AP12" s="245">
        <v>2.98</v>
      </c>
      <c r="AQ12" s="245">
        <v>16700</v>
      </c>
      <c r="AR12" s="245">
        <v>776</v>
      </c>
      <c r="AS12" s="245">
        <v>16.9</v>
      </c>
      <c r="AT12" s="245">
        <v>336</v>
      </c>
      <c r="AU12" s="245">
        <v>57</v>
      </c>
      <c r="AV12" s="245">
        <v>2.41</v>
      </c>
      <c r="AW12" s="245">
        <v>20.1</v>
      </c>
      <c r="AX12" s="245">
        <v>146000</v>
      </c>
      <c r="AY12" s="246" t="s">
        <v>630</v>
      </c>
      <c r="BA12" s="208">
        <v>84</v>
      </c>
      <c r="BB12" s="207" t="str">
        <f>IF($C$16&gt;0,IF($B$82&lt;=$B$84,"fbx &lt;= Fbx,  O.K.","fbx &gt; Fbx"),"N.A.")</f>
        <v>fbx &lt;= Fbx,  O.K.</v>
      </c>
      <c r="BE12" s="199">
        <f>IF($C$16&gt;0,$B$82/$B$84,"")</f>
        <v>0.17004153686396678</v>
      </c>
    </row>
    <row r="13" spans="1:57" ht="12.75">
      <c r="A13" s="83"/>
      <c r="B13" s="47" t="s">
        <v>877</v>
      </c>
      <c r="C13" s="218">
        <v>17</v>
      </c>
      <c r="D13" s="104" t="s">
        <v>90</v>
      </c>
      <c r="E13" s="50"/>
      <c r="F13" s="44"/>
      <c r="G13" s="44"/>
      <c r="H13" s="163" t="str">
        <f>$C$10</f>
        <v>W12x50</v>
      </c>
      <c r="I13" s="44"/>
      <c r="J13" s="178"/>
      <c r="L13" s="63"/>
      <c r="N13" s="136" t="s">
        <v>246</v>
      </c>
      <c r="O13" s="73">
        <f>2.23-1.49*$O$9+1.39*EXP(-18.33*$O$9)</f>
        <v>2.318745946013206</v>
      </c>
      <c r="P13" s="155"/>
      <c r="Q13" s="137" t="s">
        <v>856</v>
      </c>
      <c r="R13" s="78"/>
      <c r="S13" s="78"/>
      <c r="T13" s="78"/>
      <c r="U13" s="1"/>
      <c r="V13" s="75"/>
      <c r="W13" s="75"/>
      <c r="AH13" s="243" t="s">
        <v>308</v>
      </c>
      <c r="AI13" s="245">
        <v>192</v>
      </c>
      <c r="AJ13" s="245">
        <v>43.62</v>
      </c>
      <c r="AK13" s="245">
        <v>1.97</v>
      </c>
      <c r="AL13" s="245">
        <v>16.87</v>
      </c>
      <c r="AM13" s="245">
        <v>3.54</v>
      </c>
      <c r="AN13" s="245">
        <v>4.9375</v>
      </c>
      <c r="AO13" s="245">
        <v>4.43</v>
      </c>
      <c r="AP13" s="245">
        <v>0.73</v>
      </c>
      <c r="AQ13" s="245">
        <v>56500</v>
      </c>
      <c r="AR13" s="245">
        <v>2590</v>
      </c>
      <c r="AS13" s="245">
        <v>17.2</v>
      </c>
      <c r="AT13" s="245">
        <v>2860</v>
      </c>
      <c r="AU13" s="245">
        <v>339</v>
      </c>
      <c r="AV13" s="245">
        <v>3.86</v>
      </c>
      <c r="AW13" s="245">
        <v>596</v>
      </c>
      <c r="AX13" s="245">
        <v>1140000</v>
      </c>
      <c r="AY13" s="246" t="s">
        <v>631</v>
      </c>
      <c r="BA13" s="208">
        <v>90</v>
      </c>
      <c r="BB13" s="162" t="str">
        <f>IF($C$16&gt;0,IF($B$89&lt;=$B$90,"fby &lt;= Fby,  O.K.","fby &gt; Fby"),"N.A.")</f>
        <v>fby &lt;= Fby,  O.K.</v>
      </c>
      <c r="BE13" s="199">
        <f>IF($C$16&gt;0,$B$89/$B$90,"")</f>
        <v>0.10329985806936996</v>
      </c>
    </row>
    <row r="14" spans="1:57" ht="12.75">
      <c r="A14" s="83"/>
      <c r="B14" s="47" t="s">
        <v>113</v>
      </c>
      <c r="C14" s="218">
        <v>17</v>
      </c>
      <c r="D14" s="104" t="s">
        <v>90</v>
      </c>
      <c r="E14" s="44"/>
      <c r="F14" s="44"/>
      <c r="G14" s="44"/>
      <c r="H14" s="298" t="s">
        <v>978</v>
      </c>
      <c r="I14" s="44"/>
      <c r="J14" s="181"/>
      <c r="L14" s="63"/>
      <c r="N14" s="114" t="s">
        <v>96</v>
      </c>
      <c r="O14" s="78"/>
      <c r="P14" s="77"/>
      <c r="Q14" s="68"/>
      <c r="R14" s="67"/>
      <c r="S14" s="69"/>
      <c r="T14" s="68"/>
      <c r="U14" s="1"/>
      <c r="V14" s="75"/>
      <c r="W14" s="75"/>
      <c r="AH14" s="243" t="s">
        <v>309</v>
      </c>
      <c r="AI14" s="244">
        <v>174</v>
      </c>
      <c r="AJ14" s="244">
        <v>43</v>
      </c>
      <c r="AK14" s="244">
        <v>1.79</v>
      </c>
      <c r="AL14" s="244">
        <v>16.7</v>
      </c>
      <c r="AM14" s="244">
        <v>3.23</v>
      </c>
      <c r="AN14" s="244">
        <v>4.41</v>
      </c>
      <c r="AO14" s="245">
        <v>4.38</v>
      </c>
      <c r="AP14" s="245">
        <v>0.8</v>
      </c>
      <c r="AQ14" s="244">
        <v>50400</v>
      </c>
      <c r="AR14" s="244">
        <v>2340</v>
      </c>
      <c r="AS14" s="244">
        <v>17</v>
      </c>
      <c r="AT14" s="244">
        <v>2520</v>
      </c>
      <c r="AU14" s="244">
        <v>302</v>
      </c>
      <c r="AV14" s="244">
        <v>3.8</v>
      </c>
      <c r="AW14" s="244">
        <v>445</v>
      </c>
      <c r="AX14" s="244">
        <v>996000</v>
      </c>
      <c r="AY14" s="246" t="s">
        <v>632</v>
      </c>
      <c r="BA14" s="208">
        <v>93</v>
      </c>
      <c r="BB14" s="162" t="str">
        <f>IF($C$16&gt;0,IF($B$93&lt;=1,"S.R.(combined) &lt;= 1.0,  O.K.","S.R.(combined) &gt; 1.0"),"N.A.")</f>
        <v>S.R.(combined) &lt;= 1.0,  O.K.</v>
      </c>
      <c r="BE14" s="199">
        <f>IF($C$16&gt;0,$B$93,"")</f>
        <v>0.27334139493333676</v>
      </c>
    </row>
    <row r="15" spans="1:57" ht="12.75">
      <c r="A15" s="83"/>
      <c r="B15" s="47" t="s">
        <v>114</v>
      </c>
      <c r="C15" s="219">
        <v>1</v>
      </c>
      <c r="D15" s="44"/>
      <c r="E15" s="44"/>
      <c r="F15" s="163" t="str">
        <f>"           Pv="&amp;ROUND($B$31,3)&amp;" k"</f>
        <v>           Pv=7.4 k</v>
      </c>
      <c r="G15" s="44"/>
      <c r="H15" s="298" t="s">
        <v>979</v>
      </c>
      <c r="I15" s="44"/>
      <c r="J15" s="76"/>
      <c r="L15" s="63"/>
      <c r="N15" s="115" t="s">
        <v>97</v>
      </c>
      <c r="O15" s="75">
        <f>$F$22/(2*$F$23)</f>
        <v>6.3125</v>
      </c>
      <c r="P15" s="156"/>
      <c r="Q15" s="70"/>
      <c r="R15" s="71"/>
      <c r="S15" s="71"/>
      <c r="T15" s="71"/>
      <c r="U15" s="1"/>
      <c r="V15" s="75"/>
      <c r="W15" s="75"/>
      <c r="AH15" s="243" t="s">
        <v>311</v>
      </c>
      <c r="AI15" s="245">
        <v>156</v>
      </c>
      <c r="AJ15" s="245">
        <v>42.34</v>
      </c>
      <c r="AK15" s="245">
        <v>1.61</v>
      </c>
      <c r="AL15" s="245">
        <v>16.51</v>
      </c>
      <c r="AM15" s="245">
        <v>2.91</v>
      </c>
      <c r="AN15" s="245">
        <v>4.3125</v>
      </c>
      <c r="AO15" s="245">
        <v>4.33</v>
      </c>
      <c r="AP15" s="245">
        <v>0.88</v>
      </c>
      <c r="AQ15" s="245">
        <v>44300</v>
      </c>
      <c r="AR15" s="245">
        <v>2090</v>
      </c>
      <c r="AS15" s="245">
        <v>16.9</v>
      </c>
      <c r="AT15" s="245">
        <v>2200</v>
      </c>
      <c r="AU15" s="245">
        <v>266</v>
      </c>
      <c r="AV15" s="245">
        <v>3.75</v>
      </c>
      <c r="AW15" s="245">
        <v>329</v>
      </c>
      <c r="AX15" s="245">
        <v>848000</v>
      </c>
      <c r="AY15" s="246" t="s">
        <v>633</v>
      </c>
      <c r="BA15" s="208">
        <v>99</v>
      </c>
      <c r="BB15" s="162" t="str">
        <f>IF($C$16&gt;0,IF($B$97&lt;=$B$99,"Defl.(max) &lt;= Defl.(allow),  O.K.","Defl.(max) &gt; Defl.(allow)"),"N.A.")</f>
        <v>Defl.(max) &lt;= Defl.(allow),  O.K.</v>
      </c>
      <c r="BE15" s="199">
        <f>IF($C$16&gt;0,$B$97/$B$99,"")</f>
        <v>0.6926801305229738</v>
      </c>
    </row>
    <row r="16" spans="1:53" ht="12.75">
      <c r="A16" s="83"/>
      <c r="B16" s="47" t="s">
        <v>174</v>
      </c>
      <c r="C16" s="218">
        <v>3</v>
      </c>
      <c r="D16" s="104" t="s">
        <v>90</v>
      </c>
      <c r="E16" s="149" t="s">
        <v>151</v>
      </c>
      <c r="F16" s="186"/>
      <c r="G16" s="149"/>
      <c r="H16" s="186"/>
      <c r="I16" s="186"/>
      <c r="J16" s="76"/>
      <c r="L16" s="63"/>
      <c r="N16" s="115" t="s">
        <v>98</v>
      </c>
      <c r="O16" s="75">
        <f>$F$20/$F$21</f>
        <v>32.97297297297297</v>
      </c>
      <c r="P16" s="77"/>
      <c r="Q16" s="73"/>
      <c r="R16" s="74"/>
      <c r="S16" s="74"/>
      <c r="T16" s="74"/>
      <c r="U16" s="1"/>
      <c r="V16" s="75"/>
      <c r="W16" s="75"/>
      <c r="AH16" s="243" t="s">
        <v>312</v>
      </c>
      <c r="AI16" s="244">
        <v>148</v>
      </c>
      <c r="AJ16" s="244">
        <v>42.1</v>
      </c>
      <c r="AK16" s="244">
        <v>1.54</v>
      </c>
      <c r="AL16" s="244">
        <v>16.4</v>
      </c>
      <c r="AM16" s="244">
        <v>2.76</v>
      </c>
      <c r="AN16" s="244">
        <v>3.94</v>
      </c>
      <c r="AO16" s="245">
        <v>4.3</v>
      </c>
      <c r="AP16" s="245">
        <v>0.93</v>
      </c>
      <c r="AQ16" s="244">
        <v>41700</v>
      </c>
      <c r="AR16" s="244">
        <v>1980</v>
      </c>
      <c r="AS16" s="244">
        <v>16.8</v>
      </c>
      <c r="AT16" s="244">
        <v>2050</v>
      </c>
      <c r="AU16" s="244">
        <v>250</v>
      </c>
      <c r="AV16" s="244">
        <v>3.72</v>
      </c>
      <c r="AW16" s="244">
        <v>279</v>
      </c>
      <c r="AX16" s="244">
        <v>791000</v>
      </c>
      <c r="AY16" s="246" t="s">
        <v>634</v>
      </c>
      <c r="BA16" s="198" t="s">
        <v>935</v>
      </c>
    </row>
    <row r="17" spans="1:57" ht="12.75">
      <c r="A17" s="83"/>
      <c r="B17" s="47" t="s">
        <v>175</v>
      </c>
      <c r="C17" s="218">
        <v>11.5</v>
      </c>
      <c r="D17" s="104" t="s">
        <v>90</v>
      </c>
      <c r="E17" s="160">
        <f>IF(AND($C$16=0,$C$17&gt;0),"Must input unbraced of overhang, Lbo&gt;0 !","")</f>
      </c>
      <c r="F17" s="44"/>
      <c r="G17" s="44"/>
      <c r="H17" s="44"/>
      <c r="I17" s="44"/>
      <c r="J17" s="76"/>
      <c r="L17" s="63"/>
      <c r="M17" s="81"/>
      <c r="N17" s="115" t="s">
        <v>99</v>
      </c>
      <c r="O17" s="1">
        <f>IF($O$15&lt;=195/SQRT($C$12),MIN(1.293-0.00309*$O$15*SQRT($C$12),1),MIN(26200/($C$12*$O$15^2),1))</f>
        <v>1</v>
      </c>
      <c r="P17" s="156"/>
      <c r="Q17" s="73"/>
      <c r="R17" s="74"/>
      <c r="S17" s="74"/>
      <c r="T17" s="74"/>
      <c r="U17" s="1"/>
      <c r="V17" s="75"/>
      <c r="W17" s="75"/>
      <c r="AH17" s="243" t="s">
        <v>313</v>
      </c>
      <c r="AI17" s="245">
        <v>140</v>
      </c>
      <c r="AJ17" s="245">
        <v>41.81</v>
      </c>
      <c r="AK17" s="245">
        <v>1.46</v>
      </c>
      <c r="AL17" s="245">
        <v>16.36</v>
      </c>
      <c r="AM17" s="245">
        <v>2.64</v>
      </c>
      <c r="AN17" s="245">
        <v>4</v>
      </c>
      <c r="AO17" s="245">
        <v>4.28</v>
      </c>
      <c r="AP17" s="245">
        <v>0.97</v>
      </c>
      <c r="AQ17" s="245">
        <v>39500</v>
      </c>
      <c r="AR17" s="245">
        <v>1890</v>
      </c>
      <c r="AS17" s="245">
        <v>16.8</v>
      </c>
      <c r="AT17" s="245">
        <v>1940</v>
      </c>
      <c r="AU17" s="245">
        <v>237</v>
      </c>
      <c r="AV17" s="245">
        <v>3.72</v>
      </c>
      <c r="AW17" s="245">
        <v>245</v>
      </c>
      <c r="AX17" s="245">
        <v>739000</v>
      </c>
      <c r="AY17" s="246" t="s">
        <v>635</v>
      </c>
      <c r="BA17" s="208">
        <v>107</v>
      </c>
      <c r="BB17" s="162" t="str">
        <f>IF($B$106&lt;=$B$107,"fb &lt;= Fb = 0.75*Fy, O.K.","fb &gt; Fb = 0.75*Fy")</f>
        <v>fb &lt;= Fb = 0.75*Fy, O.K.</v>
      </c>
      <c r="BE17" s="199">
        <f>$B$106/$B$107</f>
        <v>0.3894523338035301</v>
      </c>
    </row>
    <row r="18" spans="1:53" ht="12.75">
      <c r="A18" s="83"/>
      <c r="B18" s="47" t="s">
        <v>918</v>
      </c>
      <c r="C18" s="219">
        <v>1</v>
      </c>
      <c r="D18" s="44"/>
      <c r="E18" s="187" t="str">
        <f>$C$10&amp;" Member Properties:"</f>
        <v>W12x50 Member Properties:</v>
      </c>
      <c r="F18" s="186"/>
      <c r="G18" s="186"/>
      <c r="H18" s="186"/>
      <c r="I18" s="186"/>
      <c r="J18" s="188"/>
      <c r="L18" s="63"/>
      <c r="M18" s="81"/>
      <c r="N18" s="291" t="s">
        <v>943</v>
      </c>
      <c r="O18" s="67"/>
      <c r="P18" s="62"/>
      <c r="AH18" s="243" t="s">
        <v>314</v>
      </c>
      <c r="AI18" s="245">
        <v>137</v>
      </c>
      <c r="AJ18" s="245">
        <v>42.44</v>
      </c>
      <c r="AK18" s="245">
        <v>1.67</v>
      </c>
      <c r="AL18" s="245">
        <v>12.64</v>
      </c>
      <c r="AM18" s="245">
        <v>2.95</v>
      </c>
      <c r="AN18" s="245">
        <v>4.125</v>
      </c>
      <c r="AO18" s="245">
        <v>3.22</v>
      </c>
      <c r="AP18" s="245">
        <v>1.14</v>
      </c>
      <c r="AQ18" s="245">
        <v>36300</v>
      </c>
      <c r="AR18" s="245">
        <v>1710</v>
      </c>
      <c r="AS18" s="245">
        <v>16.3</v>
      </c>
      <c r="AT18" s="245">
        <v>1010</v>
      </c>
      <c r="AU18" s="245">
        <v>160</v>
      </c>
      <c r="AV18" s="245">
        <v>2.72</v>
      </c>
      <c r="AW18" s="245">
        <v>277</v>
      </c>
      <c r="AX18" s="245">
        <v>393000</v>
      </c>
      <c r="AY18" s="246" t="s">
        <v>636</v>
      </c>
      <c r="BA18" s="198" t="s">
        <v>936</v>
      </c>
    </row>
    <row r="19" spans="1:57" ht="12.75">
      <c r="A19" s="83"/>
      <c r="B19" s="47" t="s">
        <v>83</v>
      </c>
      <c r="C19" s="220">
        <v>6</v>
      </c>
      <c r="D19" s="96" t="s">
        <v>7</v>
      </c>
      <c r="E19" s="47" t="s">
        <v>15</v>
      </c>
      <c r="F19" s="6">
        <f>VLOOKUP($C$10,$AH$5:$AY$320,2,FALSE)</f>
        <v>14.6</v>
      </c>
      <c r="G19" s="96" t="s">
        <v>17</v>
      </c>
      <c r="H19" s="118" t="s">
        <v>101</v>
      </c>
      <c r="I19" s="6">
        <f>VLOOKUP($C$10,$AH$5:$AY$320,9,FALSE)</f>
        <v>2.36</v>
      </c>
      <c r="J19" s="76"/>
      <c r="L19" s="63"/>
      <c r="M19" s="111"/>
      <c r="N19" s="78" t="s">
        <v>947</v>
      </c>
      <c r="P19" s="62"/>
      <c r="AH19" s="243" t="s">
        <v>315</v>
      </c>
      <c r="AI19" s="245">
        <v>128</v>
      </c>
      <c r="AJ19" s="245">
        <v>41.34</v>
      </c>
      <c r="AK19" s="245">
        <v>1.34</v>
      </c>
      <c r="AL19" s="245">
        <v>16.24</v>
      </c>
      <c r="AM19" s="245">
        <v>2.4</v>
      </c>
      <c r="AN19" s="245">
        <v>3.8125</v>
      </c>
      <c r="AO19" s="245">
        <v>4.24</v>
      </c>
      <c r="AP19" s="245">
        <v>1.06</v>
      </c>
      <c r="AQ19" s="245">
        <v>35400</v>
      </c>
      <c r="AR19" s="245">
        <v>1710</v>
      </c>
      <c r="AS19" s="245">
        <v>16.6</v>
      </c>
      <c r="AT19" s="245">
        <v>1720</v>
      </c>
      <c r="AU19" s="245">
        <v>212</v>
      </c>
      <c r="AV19" s="245">
        <v>3.67</v>
      </c>
      <c r="AW19" s="245">
        <v>186</v>
      </c>
      <c r="AX19" s="245">
        <v>649000</v>
      </c>
      <c r="AY19" s="246" t="s">
        <v>637</v>
      </c>
      <c r="BA19" s="208">
        <v>129</v>
      </c>
      <c r="BB19" s="162" t="str">
        <f>"fto"&amp;IF($B$129&lt;=0.66*$C$12," &lt;="," &gt;")&amp;" Fb = 0.66*Fy"&amp;IF($B$129&lt;=0.66*$C$12,", O.K.","")</f>
        <v>fto &lt;= Fb = 0.66*Fy, O.K.</v>
      </c>
      <c r="BE19" s="199">
        <f>$B$129/(0.66*$C$12)</f>
        <v>0.47946396045044604</v>
      </c>
    </row>
    <row r="20" spans="1:57" ht="12.75">
      <c r="A20" s="83"/>
      <c r="B20" s="47" t="s">
        <v>211</v>
      </c>
      <c r="C20" s="220">
        <v>0.4</v>
      </c>
      <c r="D20" s="96" t="s">
        <v>7</v>
      </c>
      <c r="E20" s="47" t="s">
        <v>47</v>
      </c>
      <c r="F20" s="7">
        <f>VLOOKUP($C$10,$AH$5:$AY$320,3,FALSE)</f>
        <v>12.2</v>
      </c>
      <c r="G20" s="96" t="s">
        <v>8</v>
      </c>
      <c r="H20" s="47" t="s">
        <v>18</v>
      </c>
      <c r="I20" s="8">
        <f>VLOOKUP($C$10,$AH$5:$AY$320,10,FALSE)</f>
        <v>391</v>
      </c>
      <c r="J20" s="148" t="s">
        <v>19</v>
      </c>
      <c r="L20" s="63"/>
      <c r="N20" s="115" t="s">
        <v>944</v>
      </c>
      <c r="O20" s="1" t="str">
        <f>IF(AND($C$16=0,$C$24=2),$O$5+$O$4/1000*$C$13/2,IF(AND($C$16=0,$C$24=4),$O$5*($C$13-$C$25/2)/$C$13+$O$4/1000*$C$13/2,"N.A."))</f>
        <v>N.A.</v>
      </c>
      <c r="P20" s="78" t="s">
        <v>7</v>
      </c>
      <c r="Q20" s="115" t="s">
        <v>946</v>
      </c>
      <c r="R20" s="78" t="str">
        <f>IF(AND($C$16=0,$C$24=2),"Pv+w/1000*L/2",IF(AND($C$16=0,$C$24=4),"Pv*(L-S/2)/L+w/1000*L/2","N.A."))</f>
        <v>N.A.</v>
      </c>
      <c r="AH20" s="243" t="s">
        <v>316</v>
      </c>
      <c r="AI20" s="244">
        <v>127</v>
      </c>
      <c r="AJ20" s="244">
        <v>41.3</v>
      </c>
      <c r="AK20" s="244">
        <v>1.34</v>
      </c>
      <c r="AL20" s="244">
        <v>16.2</v>
      </c>
      <c r="AM20" s="244">
        <v>2.36</v>
      </c>
      <c r="AN20" s="244">
        <v>3.54</v>
      </c>
      <c r="AO20" s="245">
        <v>4.23</v>
      </c>
      <c r="AP20" s="245">
        <v>1.08</v>
      </c>
      <c r="AQ20" s="244">
        <v>34800</v>
      </c>
      <c r="AR20" s="244">
        <v>1690</v>
      </c>
      <c r="AS20" s="244">
        <v>16.6</v>
      </c>
      <c r="AT20" s="244">
        <v>1690</v>
      </c>
      <c r="AU20" s="244">
        <v>208</v>
      </c>
      <c r="AV20" s="244">
        <v>3.65</v>
      </c>
      <c r="AW20" s="244">
        <v>177</v>
      </c>
      <c r="AX20" s="244">
        <v>639000</v>
      </c>
      <c r="AY20" s="246" t="s">
        <v>638</v>
      </c>
      <c r="BA20" s="208">
        <v>136</v>
      </c>
      <c r="BB20" s="162" t="str">
        <f>"ft1"&amp;IF($B$136&lt;=0.66*$C$12," &lt;="," &gt;")&amp;" Fb = 0.66*Fy"&amp;IF($B$136&lt;=0.66*$C$12,", O.K.","")</f>
        <v>ft1 &lt;= Fb = 0.66*Fy, O.K.</v>
      </c>
      <c r="BE20" s="199">
        <f>$B$136/(0.66*$C$12)</f>
        <v>0.6269118693249759</v>
      </c>
    </row>
    <row r="21" spans="1:57" ht="12.75">
      <c r="A21" s="83"/>
      <c r="B21" s="47" t="s">
        <v>212</v>
      </c>
      <c r="C21" s="221">
        <v>0.1</v>
      </c>
      <c r="D21" s="96" t="s">
        <v>7</v>
      </c>
      <c r="E21" s="47" t="s">
        <v>1</v>
      </c>
      <c r="F21" s="7">
        <f>VLOOKUP($C$10,$AH$5:$AY$320,4,FALSE)</f>
        <v>0.37</v>
      </c>
      <c r="G21" s="96" t="s">
        <v>8</v>
      </c>
      <c r="H21" s="47" t="s">
        <v>13</v>
      </c>
      <c r="I21" s="8">
        <f>VLOOKUP($C$10,$AH$5:$AY$320,11,FALSE)</f>
        <v>64.2</v>
      </c>
      <c r="J21" s="148" t="s">
        <v>16</v>
      </c>
      <c r="L21" s="63"/>
      <c r="N21" s="115" t="s">
        <v>945</v>
      </c>
      <c r="O21" s="1" t="str">
        <f>IF(AND($C$16=0,$C$24=2),0+$O$4/1000*$C$13/2,IF(AND($C$16=0,$C$24=4),$O$5*($C$25/2)/$C$13+$O$4/1000*$C$13/2,"N.A."))</f>
        <v>N.A.</v>
      </c>
      <c r="P21" s="78" t="s">
        <v>7</v>
      </c>
      <c r="Q21" s="115" t="s">
        <v>945</v>
      </c>
      <c r="R21" s="78" t="str">
        <f>IF(AND($C$16=0,$C$24=2),"0+w/1000*L/2",IF(AND($C$16=0,$C$24=4),"Pv*(S/2)/L+w/1000*L/2","N.A."))</f>
        <v>N.A.</v>
      </c>
      <c r="AH21" s="243" t="s">
        <v>317</v>
      </c>
      <c r="AI21" s="244">
        <v>117</v>
      </c>
      <c r="AJ21" s="244">
        <v>41</v>
      </c>
      <c r="AK21" s="244">
        <v>1.22</v>
      </c>
      <c r="AL21" s="244">
        <v>16.1</v>
      </c>
      <c r="AM21" s="244">
        <v>2.2</v>
      </c>
      <c r="AN21" s="244">
        <v>3.38</v>
      </c>
      <c r="AO21" s="245">
        <v>4.21</v>
      </c>
      <c r="AP21" s="245">
        <v>1.15</v>
      </c>
      <c r="AQ21" s="244">
        <v>32000</v>
      </c>
      <c r="AR21" s="244">
        <v>1560</v>
      </c>
      <c r="AS21" s="244">
        <v>16.6</v>
      </c>
      <c r="AT21" s="244">
        <v>1540</v>
      </c>
      <c r="AU21" s="244">
        <v>191</v>
      </c>
      <c r="AV21" s="244">
        <v>3.64</v>
      </c>
      <c r="AW21" s="244">
        <v>142</v>
      </c>
      <c r="AX21" s="244">
        <v>578000</v>
      </c>
      <c r="AY21" s="246" t="s">
        <v>639</v>
      </c>
      <c r="BA21" s="208">
        <v>143</v>
      </c>
      <c r="BB21" s="162" t="str">
        <f>"ft2"&amp;IF($B$143&lt;=0.66*$C$12," &lt;="," &gt;")&amp;" Fb = 0.66*Fy"&amp;IF($B$143&lt;=0.66*$C$12,", O.K.","")</f>
        <v>ft2 &lt;= Fb = 0.66*Fy, O.K.</v>
      </c>
      <c r="BE21" s="199">
        <f>$B$143/(0.66*$C$12)</f>
        <v>0.24405516241461578</v>
      </c>
    </row>
    <row r="22" spans="1:51" ht="12.75">
      <c r="A22" s="83"/>
      <c r="B22" s="47" t="s">
        <v>91</v>
      </c>
      <c r="C22" s="222">
        <v>15</v>
      </c>
      <c r="D22" s="44" t="s">
        <v>81</v>
      </c>
      <c r="E22" s="47" t="s">
        <v>3</v>
      </c>
      <c r="F22" s="7">
        <f>VLOOKUP($C$10,$AH$5:$AY$320,5,FALSE)</f>
        <v>8.08</v>
      </c>
      <c r="G22" s="96" t="s">
        <v>8</v>
      </c>
      <c r="H22" s="47" t="s">
        <v>20</v>
      </c>
      <c r="I22" s="8">
        <f>VLOOKUP($C$10,$AH$5:$AY$320,13,FALSE)</f>
        <v>56.3</v>
      </c>
      <c r="J22" s="148" t="s">
        <v>19</v>
      </c>
      <c r="L22" s="63"/>
      <c r="N22" s="78" t="s">
        <v>948</v>
      </c>
      <c r="P22" s="62"/>
      <c r="AH22" s="243" t="s">
        <v>318</v>
      </c>
      <c r="AI22" s="244">
        <v>115</v>
      </c>
      <c r="AJ22" s="244">
        <v>41.6</v>
      </c>
      <c r="AK22" s="244">
        <v>1.42</v>
      </c>
      <c r="AL22" s="244">
        <v>12.4</v>
      </c>
      <c r="AM22" s="244">
        <v>2.52</v>
      </c>
      <c r="AN22" s="244">
        <v>3.7</v>
      </c>
      <c r="AO22" s="245">
        <v>3.14</v>
      </c>
      <c r="AP22" s="245">
        <v>1.33</v>
      </c>
      <c r="AQ22" s="244">
        <v>29900</v>
      </c>
      <c r="AR22" s="244">
        <v>1440</v>
      </c>
      <c r="AS22" s="244">
        <v>16.1</v>
      </c>
      <c r="AT22" s="244">
        <v>803</v>
      </c>
      <c r="AU22" s="244">
        <v>130</v>
      </c>
      <c r="AV22" s="244">
        <v>2.64</v>
      </c>
      <c r="AW22" s="244">
        <v>172</v>
      </c>
      <c r="AX22" s="244">
        <v>306000</v>
      </c>
      <c r="AY22" s="246" t="s">
        <v>640</v>
      </c>
    </row>
    <row r="23" spans="1:54" ht="12.75">
      <c r="A23" s="83"/>
      <c r="B23" s="47" t="s">
        <v>115</v>
      </c>
      <c r="C23" s="222">
        <v>10</v>
      </c>
      <c r="D23" s="44" t="s">
        <v>81</v>
      </c>
      <c r="E23" s="47" t="s">
        <v>4</v>
      </c>
      <c r="F23" s="7">
        <f>VLOOKUP($C$10,$AH$5:$AY$320,6,FALSE)</f>
        <v>0.64</v>
      </c>
      <c r="G23" s="96" t="s">
        <v>8</v>
      </c>
      <c r="H23" s="47" t="s">
        <v>14</v>
      </c>
      <c r="I23" s="8">
        <f>VLOOKUP($C$10,$AH$5:$AY$320,14,FALSE)</f>
        <v>13.9</v>
      </c>
      <c r="J23" s="148" t="s">
        <v>16</v>
      </c>
      <c r="L23" s="63"/>
      <c r="N23" s="115" t="s">
        <v>944</v>
      </c>
      <c r="O23" s="1">
        <f>IF(AND($C$16&gt;0,$C$24=2),$O$5*($C$13+$C$16)/$C$13+$O$4/1000/(2*$C$13)*($C$13+$C$16)^2,IF(AND($C$16&gt;0,$C$24=4),$O$5*($C$13+($C$16-$C$25/2))/$C$13+$O$4/1000/(2*$C$13)*($C$13+$C$16)^2,"N.A."))</f>
        <v>9.130882352941176</v>
      </c>
      <c r="P23" s="78" t="s">
        <v>7</v>
      </c>
      <c r="Q23" s="115" t="s">
        <v>946</v>
      </c>
      <c r="R23" s="78" t="str">
        <f>IF(AND($C$16&gt;0,$C$24=2),"Pv*(L+Lo)/L+w/1000/(2*L)*(L+Lo)^2",IF(AND($C$16&gt;0,$C$24=4),"Pv*(L+(Lo-S/2))/L+w/1000/(2*L)*(L+Lo)^2","N.A."))</f>
        <v>Pv*(L+(Lo-S/2))/L+w/1000/(2*L)*(L+Lo)^2</v>
      </c>
      <c r="AH23" s="243" t="s">
        <v>319</v>
      </c>
      <c r="AI23" s="244">
        <v>109</v>
      </c>
      <c r="AJ23" s="244">
        <v>40.6</v>
      </c>
      <c r="AK23" s="244">
        <v>1.16</v>
      </c>
      <c r="AL23" s="244">
        <v>16.1</v>
      </c>
      <c r="AM23" s="244">
        <v>2.05</v>
      </c>
      <c r="AN23" s="244">
        <v>3.23</v>
      </c>
      <c r="AO23" s="245">
        <v>4.18</v>
      </c>
      <c r="AP23" s="245">
        <v>1.23</v>
      </c>
      <c r="AQ23" s="244">
        <v>29600</v>
      </c>
      <c r="AR23" s="244">
        <v>1460</v>
      </c>
      <c r="AS23" s="244">
        <v>16.5</v>
      </c>
      <c r="AT23" s="244">
        <v>1420</v>
      </c>
      <c r="AU23" s="244">
        <v>177</v>
      </c>
      <c r="AV23" s="244">
        <v>3.6</v>
      </c>
      <c r="AW23" s="244">
        <v>116</v>
      </c>
      <c r="AX23" s="244">
        <v>528000</v>
      </c>
      <c r="AY23" s="246" t="s">
        <v>641</v>
      </c>
      <c r="BB23" s="162"/>
    </row>
    <row r="24" spans="1:53" ht="12.75">
      <c r="A24" s="83"/>
      <c r="B24" s="47" t="s">
        <v>89</v>
      </c>
      <c r="C24" s="223">
        <v>4</v>
      </c>
      <c r="D24" s="96" t="str">
        <f>IF($C$24=2,"(1-pair)",IF($C$24=4,"(2-pairs)"))</f>
        <v>(2-pairs)</v>
      </c>
      <c r="E24" s="47" t="s">
        <v>199</v>
      </c>
      <c r="F24" s="7">
        <f>VLOOKUP($C$10,$AH$5:$AY$320,7,FALSE)</f>
        <v>1.14</v>
      </c>
      <c r="G24" s="96" t="s">
        <v>8</v>
      </c>
      <c r="H24" s="47" t="s">
        <v>155</v>
      </c>
      <c r="I24" s="27">
        <f>VLOOKUP($C$10,$AH$5:$AY$320,16,FALSE)</f>
        <v>1.71</v>
      </c>
      <c r="J24" s="148" t="s">
        <v>19</v>
      </c>
      <c r="L24" s="63"/>
      <c r="N24" s="115" t="s">
        <v>945</v>
      </c>
      <c r="O24" s="1">
        <f>IF(AND($C$16&gt;0,$C$24=2),-$O$5*$C$16/$C$13+$O$4/1000/(2*$C$13)*($C$13^2-$C$16^2),IF(AND($C$16&gt;0,$C$24=4),-$O$5*($C$16-$C$25/2)/$C$13+$O$4/1000/(2*$C$13)*($C$13^2-$C$16^2),"N.A."))</f>
        <v>-0.7308823529411764</v>
      </c>
      <c r="P24" s="78" t="s">
        <v>7</v>
      </c>
      <c r="Q24" s="115" t="s">
        <v>945</v>
      </c>
      <c r="R24" s="78" t="str">
        <f>IF(AND($C$16&gt;0,$C$24=2),"-Pv*Lo/L+w/1000/(2*L)*(L^2-Lo^2)",IF(AND($C$16&gt;0,$C$24=4),"-Pv*(Lo-S/2)/L+w/1000/(2*L)*(L^2-Lo^2)","N.A."))</f>
        <v>-Pv*(Lo-S/2)/L+w/1000/(2*L)*(L^2-Lo^2)</v>
      </c>
      <c r="AH24" s="243" t="s">
        <v>320</v>
      </c>
      <c r="AI24" s="244">
        <v>107</v>
      </c>
      <c r="AJ24" s="244">
        <v>40.6</v>
      </c>
      <c r="AK24" s="244">
        <v>1.12</v>
      </c>
      <c r="AL24" s="244">
        <v>16</v>
      </c>
      <c r="AM24" s="244">
        <v>2.01</v>
      </c>
      <c r="AN24" s="244">
        <v>3.19</v>
      </c>
      <c r="AO24" s="245">
        <v>4.17</v>
      </c>
      <c r="AP24" s="245">
        <v>1.26</v>
      </c>
      <c r="AQ24" s="244">
        <v>28900</v>
      </c>
      <c r="AR24" s="244">
        <v>1420</v>
      </c>
      <c r="AS24" s="244">
        <v>16.5</v>
      </c>
      <c r="AT24" s="244">
        <v>1380</v>
      </c>
      <c r="AU24" s="244">
        <v>173</v>
      </c>
      <c r="AV24" s="244">
        <v>3.6</v>
      </c>
      <c r="AW24" s="244">
        <v>109</v>
      </c>
      <c r="AX24" s="244">
        <v>512000</v>
      </c>
      <c r="AY24" s="246" t="s">
        <v>642</v>
      </c>
      <c r="BA24" s="288" t="s">
        <v>916</v>
      </c>
    </row>
    <row r="25" spans="1:53" ht="12.75">
      <c r="A25" s="83"/>
      <c r="B25" s="47" t="s">
        <v>92</v>
      </c>
      <c r="C25" s="218">
        <v>0.75</v>
      </c>
      <c r="D25" s="104" t="s">
        <v>90</v>
      </c>
      <c r="E25" s="118" t="s">
        <v>100</v>
      </c>
      <c r="F25" s="292">
        <f>VLOOKUP($C$10,$AH$5:$AY$320,8,FALSE)</f>
        <v>2.17</v>
      </c>
      <c r="G25" s="184" t="s">
        <v>8</v>
      </c>
      <c r="H25" s="47" t="s">
        <v>156</v>
      </c>
      <c r="I25" s="105">
        <f>VLOOKUP($C$10,$AH$5:$AY$320,17,FALSE)</f>
        <v>1880</v>
      </c>
      <c r="J25" s="148" t="s">
        <v>157</v>
      </c>
      <c r="L25" s="63"/>
      <c r="N25" s="108" t="s">
        <v>232</v>
      </c>
      <c r="V25" s="75"/>
      <c r="W25" s="75"/>
      <c r="AH25" s="243" t="s">
        <v>321</v>
      </c>
      <c r="AI25" s="244">
        <v>97.5</v>
      </c>
      <c r="AJ25" s="244">
        <v>40.8</v>
      </c>
      <c r="AK25" s="244">
        <v>1.22</v>
      </c>
      <c r="AL25" s="244">
        <v>12.2</v>
      </c>
      <c r="AM25" s="244">
        <v>2.13</v>
      </c>
      <c r="AN25" s="244">
        <v>3.31</v>
      </c>
      <c r="AO25" s="245">
        <v>3.08</v>
      </c>
      <c r="AP25" s="245">
        <v>1.57</v>
      </c>
      <c r="AQ25" s="244">
        <v>24700</v>
      </c>
      <c r="AR25" s="244">
        <v>1210</v>
      </c>
      <c r="AS25" s="244">
        <v>15.9</v>
      </c>
      <c r="AT25" s="244">
        <v>644</v>
      </c>
      <c r="AU25" s="244">
        <v>106</v>
      </c>
      <c r="AV25" s="244">
        <v>2.57</v>
      </c>
      <c r="AW25" s="244">
        <v>106</v>
      </c>
      <c r="AX25" s="244">
        <v>241000</v>
      </c>
      <c r="AY25" s="246" t="s">
        <v>643</v>
      </c>
      <c r="BA25" s="289" t="s">
        <v>915</v>
      </c>
    </row>
    <row r="26" spans="1:59" ht="12.75">
      <c r="A26" s="83"/>
      <c r="B26" s="47" t="s">
        <v>84</v>
      </c>
      <c r="C26" s="224">
        <v>0.375</v>
      </c>
      <c r="D26" s="96" t="s">
        <v>8</v>
      </c>
      <c r="E26" s="160">
        <f>IF(AND($C$24=2,$C$25&gt;0),"Must input S=0 for Nw = 2 wheels (1-pair)!",IF(AND($C$24=4,$C$25=0),"Must input S&gt;0 for Nw = 4 wheels (2-pairs)!",""))</f>
      </c>
      <c r="F26" s="44"/>
      <c r="G26" s="185"/>
      <c r="H26" s="44"/>
      <c r="I26" s="44"/>
      <c r="J26" s="76"/>
      <c r="L26" s="63"/>
      <c r="N26" s="136" t="s">
        <v>134</v>
      </c>
      <c r="O26" s="73">
        <f>IF(AND($C$24=4,$C$25&lt;(2-SQRT(2))*$C$13),1/2*($C$13-$C$25/2),IF(AND($C$24=4,$C$25&gt;=(2-SQRT(2))*$C$13),$C$13/2,IF($C$24=2,$C$13/2)))</f>
        <v>8.3125</v>
      </c>
      <c r="P26" s="155" t="s">
        <v>90</v>
      </c>
      <c r="Q26" s="140" t="str">
        <f>IF(AND($C$24=4,$C$25&lt;(2-SQRT(2))*$C$13),"x = 1/2*(L-S/2)",IF(AND($C$24=4,$C$25&gt;=(2-SQRT(2))*$C$13),"x = L/2",IF($C$24=2,"x = L/2")))&amp;" (location of max. moments from left end of simple-span)"</f>
        <v>x = 1/2*(L-S/2) (location of max. moments from left end of simple-span)</v>
      </c>
      <c r="V26" s="75"/>
      <c r="W26" s="75"/>
      <c r="AH26" s="243" t="s">
        <v>322</v>
      </c>
      <c r="AI26" s="245">
        <v>96.4</v>
      </c>
      <c r="AJ26" s="245">
        <v>40</v>
      </c>
      <c r="AK26" s="245">
        <v>0.91</v>
      </c>
      <c r="AL26" s="245">
        <v>17.91</v>
      </c>
      <c r="AM26" s="245">
        <v>1.73</v>
      </c>
      <c r="AN26" s="245">
        <v>3.125</v>
      </c>
      <c r="AO26" s="245">
        <v>4.73</v>
      </c>
      <c r="AP26" s="245">
        <v>1.29</v>
      </c>
      <c r="AQ26" s="245">
        <v>26800</v>
      </c>
      <c r="AR26" s="245">
        <v>1340</v>
      </c>
      <c r="AS26" s="245">
        <v>16.7</v>
      </c>
      <c r="AT26" s="245">
        <v>1660</v>
      </c>
      <c r="AU26" s="245">
        <v>185</v>
      </c>
      <c r="AV26" s="245">
        <v>4.15</v>
      </c>
      <c r="AW26" s="245">
        <v>74.2</v>
      </c>
      <c r="AX26" s="245">
        <v>607000</v>
      </c>
      <c r="AY26" s="246" t="s">
        <v>644</v>
      </c>
      <c r="BB26" s="269" t="s">
        <v>913</v>
      </c>
      <c r="BC26" s="287">
        <f>$C$16+$C$13</f>
        <v>20</v>
      </c>
      <c r="BD26" s="270" t="s">
        <v>90</v>
      </c>
      <c r="BF26" s="271" t="s">
        <v>906</v>
      </c>
      <c r="BG26" s="272"/>
    </row>
    <row r="27" spans="1:59" ht="12.75">
      <c r="A27" s="83"/>
      <c r="B27" s="202"/>
      <c r="C27" s="44"/>
      <c r="D27" s="44"/>
      <c r="E27" s="293" t="s">
        <v>943</v>
      </c>
      <c r="F27" s="44"/>
      <c r="G27" s="157" t="str">
        <f>IF($C$16=0,"(no overhang)",IF($C$16&gt;0,"(with overhang)"))</f>
        <v>(with overhang)</v>
      </c>
      <c r="I27" s="44"/>
      <c r="J27" s="76"/>
      <c r="L27" s="63"/>
      <c r="M27" s="74"/>
      <c r="N27" s="136" t="s">
        <v>22</v>
      </c>
      <c r="O27" s="302">
        <f>IF(AND($C$24=4,$C$25&lt;(2-SQRT(2))*$C$13),($B$31/2)/(2*$C$13)*($C$13-$C$25/2)^2+$O$4/1000*$O$26/2*($C$13-$O$26),IF(AND($C$24=4,$C$25&gt;=(2-SQRT(2))*$C$13),($B$31/2)*$C$13/4+$O$4/1000*$C$13^2/8,IF($C$24=2,$B$31*$C$13/4+$O$4/1000*$C$13^2/8)))</f>
        <v>31.883174402573527</v>
      </c>
      <c r="P27" s="155" t="s">
        <v>24</v>
      </c>
      <c r="Q27" s="301" t="str">
        <f>IF(AND($C$24=4,$C$25&lt;(2-SQRT(2))*$C$13),"Mx = (Pv/2)/(2*L)*(L-S/2)^2+w/1000*x/2*(L-x)",IF(AND($C$24=4,$C$25&gt;=(2-SQRT(2))*$C$13),"Mx = (Pv/2)*L/4+w/1000*L^2/8",IF($C$24=2,"Mx = Pv*L/4+w/1000*L^2/8")))</f>
        <v>Mx = (Pv/2)/(2*L)*(L-S/2)^2+w/1000*x/2*(L-x)</v>
      </c>
      <c r="V27" s="75"/>
      <c r="W27" s="75"/>
      <c r="AH27" s="243" t="s">
        <v>323</v>
      </c>
      <c r="AI27" s="244">
        <v>96</v>
      </c>
      <c r="AJ27" s="244">
        <v>40.8</v>
      </c>
      <c r="AK27" s="244">
        <v>1.18</v>
      </c>
      <c r="AL27" s="244">
        <v>12.1</v>
      </c>
      <c r="AM27" s="244">
        <v>2.13</v>
      </c>
      <c r="AN27" s="244">
        <v>3.31</v>
      </c>
      <c r="AO27" s="244">
        <v>3.09</v>
      </c>
      <c r="AP27" s="244">
        <v>1.58</v>
      </c>
      <c r="AQ27" s="244">
        <v>24500</v>
      </c>
      <c r="AR27" s="244">
        <v>1200</v>
      </c>
      <c r="AS27" s="244">
        <v>16</v>
      </c>
      <c r="AT27" s="244">
        <v>640</v>
      </c>
      <c r="AU27" s="244">
        <v>105</v>
      </c>
      <c r="AV27" s="244">
        <v>2.58</v>
      </c>
      <c r="AW27" s="244">
        <v>103</v>
      </c>
      <c r="AX27" s="244">
        <v>239000</v>
      </c>
      <c r="AY27" s="246" t="s">
        <v>645</v>
      </c>
      <c r="BB27" s="269" t="s">
        <v>917</v>
      </c>
      <c r="BC27" s="27">
        <f>$C$16/($C$16+$C$13)</f>
        <v>0.15</v>
      </c>
      <c r="BE27" s="278" t="s">
        <v>914</v>
      </c>
      <c r="BF27" s="273" t="s">
        <v>907</v>
      </c>
      <c r="BG27" s="274" t="s">
        <v>930</v>
      </c>
    </row>
    <row r="28" spans="1:59" ht="12.75">
      <c r="A28" s="82" t="s">
        <v>11</v>
      </c>
      <c r="B28" s="202"/>
      <c r="C28" s="44"/>
      <c r="D28" s="44"/>
      <c r="E28" s="47" t="s">
        <v>950</v>
      </c>
      <c r="F28" s="6">
        <f>IF($C$16=0,$O$20,$O$23)</f>
        <v>9.130882352941176</v>
      </c>
      <c r="G28" s="295" t="str">
        <f>"= "&amp;IF($C$16=0,$R$20,$R$23)</f>
        <v>= Pv*(L+(Lo-S/2))/L+w/1000/(2*L)*(L+Lo)^2</v>
      </c>
      <c r="H28" s="44"/>
      <c r="I28" s="44"/>
      <c r="J28" s="76"/>
      <c r="L28" s="113"/>
      <c r="N28" s="136" t="s">
        <v>23</v>
      </c>
      <c r="O28" s="302">
        <f>IF(AND($C$24=4,$C$25&lt;(2-SQRT(2))*$C$13),($B$33/2)/(2*$C$13)*($C$13-$C$25/2)^2,IF(AND($C$24=4,$C$25&gt;=(2-SQRT(2))*$C$13),($B$33/2)*$C$13/4,IF($C$24=2,$B$33*$C$13/4)))</f>
        <v>2.43874080882353</v>
      </c>
      <c r="P28" s="155" t="s">
        <v>24</v>
      </c>
      <c r="Q28" s="301" t="str">
        <f>IF(AND($C$24=4,$C$25&lt;(2-SQRT(2))*$C$13),"My = (Ph/2)/(2*L)*(L-S/2)^2",IF(AND($C$24=4,$C$25&gt;=(2-SQRT(2))*$C$13),"My = (Ph/2)*L/4",IF($C$24=2,"My = Ph*L/4")))</f>
        <v>My = (Ph/2)/(2*L)*(L-S/2)^2</v>
      </c>
      <c r="V28" s="75"/>
      <c r="W28" s="75"/>
      <c r="AH28" s="243" t="s">
        <v>324</v>
      </c>
      <c r="AI28" s="244">
        <v>95.3</v>
      </c>
      <c r="AJ28" s="244">
        <v>40.2</v>
      </c>
      <c r="AK28" s="244">
        <v>1</v>
      </c>
      <c r="AL28" s="244">
        <v>15.9</v>
      </c>
      <c r="AM28" s="244">
        <v>1.81</v>
      </c>
      <c r="AN28" s="244">
        <v>2.99</v>
      </c>
      <c r="AO28" s="245">
        <v>4.14</v>
      </c>
      <c r="AP28" s="245">
        <v>1.4</v>
      </c>
      <c r="AQ28" s="244">
        <v>25600</v>
      </c>
      <c r="AR28" s="244">
        <v>1280</v>
      </c>
      <c r="AS28" s="244">
        <v>16.4</v>
      </c>
      <c r="AT28" s="244">
        <v>1220</v>
      </c>
      <c r="AU28" s="244">
        <v>153</v>
      </c>
      <c r="AV28" s="244">
        <v>3.58</v>
      </c>
      <c r="AW28" s="244">
        <v>79.4</v>
      </c>
      <c r="AX28" s="244">
        <v>449000</v>
      </c>
      <c r="AY28" s="246" t="s">
        <v>646</v>
      </c>
      <c r="BB28" s="269" t="s">
        <v>919</v>
      </c>
      <c r="BC28" s="28">
        <f>($BG$40-$BG$39)*($BC$27-$BF$39)/($BF$40-$BF$39)+$BG$39</f>
        <v>0.715</v>
      </c>
      <c r="BE28" s="275">
        <v>1</v>
      </c>
      <c r="BF28" s="279">
        <v>0</v>
      </c>
      <c r="BG28" s="280">
        <v>0.67</v>
      </c>
    </row>
    <row r="29" spans="1:59" ht="12.75">
      <c r="A29" s="83"/>
      <c r="B29" s="44"/>
      <c r="C29" s="44"/>
      <c r="D29" s="44"/>
      <c r="E29" s="47" t="s">
        <v>949</v>
      </c>
      <c r="F29" s="294">
        <f>IF($C$16=0,$O$21,$O$24)</f>
        <v>-0.7308823529411764</v>
      </c>
      <c r="G29" s="295" t="str">
        <f>"= "&amp;IF($C$16=0,$R$21,$R$24)</f>
        <v>= -Pv*(Lo-S/2)/L+w/1000/(2*L)*(L^2-Lo^2)</v>
      </c>
      <c r="H29" s="44"/>
      <c r="I29" s="44"/>
      <c r="J29" s="76"/>
      <c r="L29" s="113"/>
      <c r="N29" s="153" t="s">
        <v>169</v>
      </c>
      <c r="T29" s="111" t="s">
        <v>933</v>
      </c>
      <c r="W29" s="75"/>
      <c r="AH29" s="243" t="s">
        <v>325</v>
      </c>
      <c r="AI29" s="245">
        <v>94.1</v>
      </c>
      <c r="AJ29" s="245">
        <v>40.08</v>
      </c>
      <c r="AK29" s="245">
        <v>1</v>
      </c>
      <c r="AL29" s="245">
        <v>15.91</v>
      </c>
      <c r="AM29" s="245">
        <v>1.77</v>
      </c>
      <c r="AN29" s="245">
        <v>2.9375</v>
      </c>
      <c r="AO29" s="245">
        <v>4.13</v>
      </c>
      <c r="AP29" s="245">
        <v>1.42</v>
      </c>
      <c r="AQ29" s="245">
        <v>25100</v>
      </c>
      <c r="AR29" s="245">
        <v>1250</v>
      </c>
      <c r="AS29" s="245">
        <v>16.3</v>
      </c>
      <c r="AT29" s="245">
        <v>1190</v>
      </c>
      <c r="AU29" s="245">
        <v>150</v>
      </c>
      <c r="AV29" s="245">
        <v>3.56</v>
      </c>
      <c r="AW29" s="245">
        <v>79.4</v>
      </c>
      <c r="AX29" s="245">
        <v>446000</v>
      </c>
      <c r="AY29" s="246" t="s">
        <v>647</v>
      </c>
      <c r="BE29" s="275">
        <v>2</v>
      </c>
      <c r="BF29" s="281">
        <v>0.1</v>
      </c>
      <c r="BG29" s="282">
        <v>0.7</v>
      </c>
    </row>
    <row r="30" spans="1:59" ht="12.75">
      <c r="A30" s="84" t="s">
        <v>82</v>
      </c>
      <c r="B30" s="44"/>
      <c r="C30" s="44"/>
      <c r="D30" s="44"/>
      <c r="E30" s="160"/>
      <c r="F30" s="44"/>
      <c r="G30" s="44"/>
      <c r="H30" s="44"/>
      <c r="I30" s="44"/>
      <c r="J30" s="76"/>
      <c r="L30" s="113"/>
      <c r="N30" s="115" t="s">
        <v>158</v>
      </c>
      <c r="O30" s="1">
        <f>$F$20/2</f>
        <v>6.1</v>
      </c>
      <c r="P30" s="155" t="s">
        <v>8</v>
      </c>
      <c r="Q30" s="78" t="s">
        <v>165</v>
      </c>
      <c r="R30" s="78"/>
      <c r="W30" s="75"/>
      <c r="AH30" s="243" t="s">
        <v>326</v>
      </c>
      <c r="AI30" s="245">
        <v>87.6</v>
      </c>
      <c r="AJ30" s="245">
        <v>39.69</v>
      </c>
      <c r="AK30" s="245">
        <v>0.83</v>
      </c>
      <c r="AL30" s="245">
        <v>17.83</v>
      </c>
      <c r="AM30" s="245">
        <v>1.575</v>
      </c>
      <c r="AN30" s="245">
        <v>3</v>
      </c>
      <c r="AO30" s="245">
        <v>4.7</v>
      </c>
      <c r="AP30" s="245">
        <v>1.41</v>
      </c>
      <c r="AQ30" s="245">
        <v>24200</v>
      </c>
      <c r="AR30" s="245">
        <v>1220</v>
      </c>
      <c r="AS30" s="245">
        <v>16.6</v>
      </c>
      <c r="AT30" s="245">
        <v>1490</v>
      </c>
      <c r="AU30" s="245">
        <v>167</v>
      </c>
      <c r="AV30" s="245">
        <v>4.12</v>
      </c>
      <c r="AW30" s="245">
        <v>56.3</v>
      </c>
      <c r="AX30" s="245">
        <v>540000</v>
      </c>
      <c r="AY30" s="246" t="s">
        <v>648</v>
      </c>
      <c r="BE30" s="275">
        <v>3</v>
      </c>
      <c r="BF30" s="281">
        <v>0.2</v>
      </c>
      <c r="BG30" s="282">
        <v>0.73</v>
      </c>
    </row>
    <row r="31" spans="1:59" ht="12.75">
      <c r="A31" s="85" t="s">
        <v>132</v>
      </c>
      <c r="B31" s="26">
        <f>$O$5</f>
        <v>7.3999999999999995</v>
      </c>
      <c r="C31" s="96" t="s">
        <v>7</v>
      </c>
      <c r="D31" s="44" t="str">
        <f>$Q$5</f>
        <v>Pv = P*(1+Vi/100)+Wt+Wh (vertical load)</v>
      </c>
      <c r="E31" s="44"/>
      <c r="F31" s="44"/>
      <c r="G31" s="44"/>
      <c r="H31" s="44"/>
      <c r="I31" s="44"/>
      <c r="J31" s="76"/>
      <c r="L31" s="113"/>
      <c r="N31" s="115" t="s">
        <v>160</v>
      </c>
      <c r="O31" s="1">
        <f>SQRT(29000*$I$25/($I$24*11200))</f>
        <v>53.35447575922932</v>
      </c>
      <c r="Q31" s="78" t="s">
        <v>161</v>
      </c>
      <c r="R31" s="78"/>
      <c r="W31" s="75"/>
      <c r="AH31" s="243" t="s">
        <v>327</v>
      </c>
      <c r="AI31" s="244">
        <v>87.4</v>
      </c>
      <c r="AJ31" s="244">
        <v>39.8</v>
      </c>
      <c r="AK31" s="244">
        <v>0.93</v>
      </c>
      <c r="AL31" s="244">
        <v>15.8</v>
      </c>
      <c r="AM31" s="244">
        <v>1.65</v>
      </c>
      <c r="AN31" s="244">
        <v>2.83</v>
      </c>
      <c r="AO31" s="245">
        <v>4.11</v>
      </c>
      <c r="AP31" s="245">
        <v>1.53</v>
      </c>
      <c r="AQ31" s="244">
        <v>23200</v>
      </c>
      <c r="AR31" s="244">
        <v>1170</v>
      </c>
      <c r="AS31" s="244">
        <v>16.3</v>
      </c>
      <c r="AT31" s="244">
        <v>1090</v>
      </c>
      <c r="AU31" s="244">
        <v>138</v>
      </c>
      <c r="AV31" s="244">
        <v>3.54</v>
      </c>
      <c r="AW31" s="244">
        <v>61.2</v>
      </c>
      <c r="AX31" s="244">
        <v>397000</v>
      </c>
      <c r="AY31" s="246" t="s">
        <v>649</v>
      </c>
      <c r="BE31" s="275">
        <v>4</v>
      </c>
      <c r="BF31" s="281">
        <v>0.3</v>
      </c>
      <c r="BG31" s="282">
        <v>0.76</v>
      </c>
    </row>
    <row r="32" spans="1:59" ht="12.75">
      <c r="A32" s="85" t="s">
        <v>234</v>
      </c>
      <c r="B32" s="27">
        <f>$O$6</f>
        <v>1.8499999999999999</v>
      </c>
      <c r="C32" s="96" t="s">
        <v>12</v>
      </c>
      <c r="D32" s="44" t="str">
        <f>$Q$6</f>
        <v>Pw = Pv/Nw (load per trolley wheel)</v>
      </c>
      <c r="E32" s="44"/>
      <c r="F32" s="44"/>
      <c r="G32" s="44"/>
      <c r="H32" s="44"/>
      <c r="I32" s="44"/>
      <c r="J32" s="76"/>
      <c r="L32" s="113"/>
      <c r="N32" s="115" t="s">
        <v>159</v>
      </c>
      <c r="O32" s="75">
        <f>$B$33*$O$30*$O$31/(2*($F$20-$F$23))*TANH($C$13*12/(2*$O$31))/12</f>
        <v>0.6737516569031508</v>
      </c>
      <c r="P32" s="155" t="s">
        <v>24</v>
      </c>
      <c r="Q32" s="78" t="s">
        <v>162</v>
      </c>
      <c r="R32" s="78"/>
      <c r="W32" s="75"/>
      <c r="AH32" s="243" t="s">
        <v>328</v>
      </c>
      <c r="AI32" s="244">
        <v>81.8</v>
      </c>
      <c r="AJ32" s="244">
        <v>40.2</v>
      </c>
      <c r="AK32" s="244">
        <v>1.02</v>
      </c>
      <c r="AL32" s="244">
        <v>12</v>
      </c>
      <c r="AM32" s="244">
        <v>1.81</v>
      </c>
      <c r="AN32" s="244">
        <v>2.99</v>
      </c>
      <c r="AO32" s="245">
        <v>3.02</v>
      </c>
      <c r="AP32" s="245">
        <v>1.85</v>
      </c>
      <c r="AQ32" s="244">
        <v>20500</v>
      </c>
      <c r="AR32" s="244">
        <v>1020</v>
      </c>
      <c r="AS32" s="244">
        <v>15.8</v>
      </c>
      <c r="AT32" s="244">
        <v>521</v>
      </c>
      <c r="AU32" s="244">
        <v>87.1</v>
      </c>
      <c r="AV32" s="244">
        <v>2.52</v>
      </c>
      <c r="AW32" s="244">
        <v>64.7</v>
      </c>
      <c r="AX32" s="244">
        <v>192000</v>
      </c>
      <c r="AY32" s="246" t="s">
        <v>650</v>
      </c>
      <c r="BE32" s="275">
        <v>5</v>
      </c>
      <c r="BF32" s="281">
        <v>0.4</v>
      </c>
      <c r="BG32" s="282">
        <v>0.8</v>
      </c>
    </row>
    <row r="33" spans="1:59" ht="12.75">
      <c r="A33" s="85" t="s">
        <v>133</v>
      </c>
      <c r="B33" s="135">
        <f>$O$7</f>
        <v>0.6000000000000001</v>
      </c>
      <c r="C33" s="96" t="s">
        <v>7</v>
      </c>
      <c r="D33" s="44" t="str">
        <f>$Q$7</f>
        <v>Ph = HLF*P (horizontal load)</v>
      </c>
      <c r="E33" s="44"/>
      <c r="F33" s="44"/>
      <c r="G33" s="44"/>
      <c r="H33" s="44"/>
      <c r="I33" s="44"/>
      <c r="J33" s="76"/>
      <c r="L33" s="113"/>
      <c r="N33" s="108" t="s">
        <v>236</v>
      </c>
      <c r="V33" s="75"/>
      <c r="W33" s="75"/>
      <c r="AH33" s="243" t="s">
        <v>329</v>
      </c>
      <c r="AI33" s="244">
        <v>81.4</v>
      </c>
      <c r="AJ33" s="244">
        <v>39.7</v>
      </c>
      <c r="AK33" s="244">
        <v>0.83</v>
      </c>
      <c r="AL33" s="244">
        <v>15.8</v>
      </c>
      <c r="AM33" s="244">
        <v>1.58</v>
      </c>
      <c r="AN33" s="244">
        <v>2.76</v>
      </c>
      <c r="AO33" s="245">
        <v>4.13</v>
      </c>
      <c r="AP33" s="245">
        <v>1.59</v>
      </c>
      <c r="AQ33" s="244">
        <v>21900</v>
      </c>
      <c r="AR33" s="244">
        <v>1100</v>
      </c>
      <c r="AS33" s="244">
        <v>16.4</v>
      </c>
      <c r="AT33" s="244">
        <v>1040</v>
      </c>
      <c r="AU33" s="244">
        <v>132</v>
      </c>
      <c r="AV33" s="244">
        <v>3.58</v>
      </c>
      <c r="AW33" s="244">
        <v>51.5</v>
      </c>
      <c r="AX33" s="244">
        <v>378000</v>
      </c>
      <c r="AY33" s="246" t="s">
        <v>651</v>
      </c>
      <c r="BE33" s="275">
        <v>6</v>
      </c>
      <c r="BF33" s="281">
        <v>0.5</v>
      </c>
      <c r="BG33" s="282">
        <v>0.84</v>
      </c>
    </row>
    <row r="34" spans="1:59" ht="12.75">
      <c r="A34" s="85" t="s">
        <v>5</v>
      </c>
      <c r="B34" s="27">
        <f>$O$8</f>
        <v>0.64</v>
      </c>
      <c r="C34" s="96" t="s">
        <v>8</v>
      </c>
      <c r="D34" s="44" t="str">
        <f>$Q$8</f>
        <v>ta = tf  (for W-shape)</v>
      </c>
      <c r="E34" s="44"/>
      <c r="F34" s="44"/>
      <c r="G34" s="44"/>
      <c r="H34" s="44"/>
      <c r="I34" s="44"/>
      <c r="J34" s="76"/>
      <c r="L34" s="107"/>
      <c r="N34" s="115" t="s">
        <v>25</v>
      </c>
      <c r="O34" s="75">
        <f>$O$27*12/$I$21</f>
        <v>5.959471850948322</v>
      </c>
      <c r="P34" s="156" t="s">
        <v>9</v>
      </c>
      <c r="Q34" s="123" t="s">
        <v>129</v>
      </c>
      <c r="U34" s="1"/>
      <c r="V34" s="75"/>
      <c r="W34" s="75"/>
      <c r="AH34" s="243" t="s">
        <v>330</v>
      </c>
      <c r="AI34" s="245">
        <v>78.8</v>
      </c>
      <c r="AJ34" s="245">
        <v>39.37</v>
      </c>
      <c r="AK34" s="245">
        <v>0.75</v>
      </c>
      <c r="AL34" s="245">
        <v>17.75</v>
      </c>
      <c r="AM34" s="245">
        <v>1.415</v>
      </c>
      <c r="AN34" s="245">
        <v>2.8125</v>
      </c>
      <c r="AO34" s="245">
        <v>4.67</v>
      </c>
      <c r="AP34" s="245">
        <v>1.57</v>
      </c>
      <c r="AQ34" s="245">
        <v>21500</v>
      </c>
      <c r="AR34" s="245">
        <v>1090</v>
      </c>
      <c r="AS34" s="245">
        <v>16.5</v>
      </c>
      <c r="AT34" s="245">
        <v>1320</v>
      </c>
      <c r="AU34" s="245">
        <v>149</v>
      </c>
      <c r="AV34" s="245">
        <v>4.09</v>
      </c>
      <c r="AW34" s="245">
        <v>41.1</v>
      </c>
      <c r="AX34" s="245">
        <v>475000</v>
      </c>
      <c r="AY34" s="246" t="s">
        <v>652</v>
      </c>
      <c r="BE34" s="275">
        <v>7</v>
      </c>
      <c r="BF34" s="281">
        <v>0.6</v>
      </c>
      <c r="BG34" s="282">
        <v>0.9</v>
      </c>
    </row>
    <row r="35" spans="1:59" ht="12.75">
      <c r="A35" s="86" t="s">
        <v>0</v>
      </c>
      <c r="B35" s="27">
        <f>$O$9</f>
        <v>0.09727626459143969</v>
      </c>
      <c r="C35" s="96"/>
      <c r="D35" s="97" t="s">
        <v>73</v>
      </c>
      <c r="E35" s="44"/>
      <c r="F35" s="44"/>
      <c r="G35" s="44"/>
      <c r="H35" s="44"/>
      <c r="I35" s="44"/>
      <c r="J35" s="76"/>
      <c r="L35" s="107"/>
      <c r="N35" s="113" t="s">
        <v>102</v>
      </c>
      <c r="O35" s="79">
        <f>MIN((76*$F$22/SQRT($C$12))/12,(20000/($I$19*$C$12))/12)</f>
        <v>8.52888888888889</v>
      </c>
      <c r="P35" s="156" t="s">
        <v>90</v>
      </c>
      <c r="Q35" s="123" t="s">
        <v>163</v>
      </c>
      <c r="R35" s="78"/>
      <c r="U35" s="1"/>
      <c r="W35" s="75"/>
      <c r="AH35" s="243" t="s">
        <v>331</v>
      </c>
      <c r="AI35" s="244">
        <v>77.6</v>
      </c>
      <c r="AJ35" s="244">
        <v>40</v>
      </c>
      <c r="AK35" s="244">
        <v>0.96</v>
      </c>
      <c r="AL35" s="244">
        <v>11.9</v>
      </c>
      <c r="AM35" s="244">
        <v>1.73</v>
      </c>
      <c r="AN35" s="244">
        <v>2.91</v>
      </c>
      <c r="AO35" s="245">
        <v>3.01</v>
      </c>
      <c r="AP35" s="245">
        <v>1.94</v>
      </c>
      <c r="AQ35" s="244">
        <v>19400</v>
      </c>
      <c r="AR35" s="244">
        <v>971</v>
      </c>
      <c r="AS35" s="244">
        <v>15.8</v>
      </c>
      <c r="AT35" s="244">
        <v>493</v>
      </c>
      <c r="AU35" s="244">
        <v>82.6</v>
      </c>
      <c r="AV35" s="244">
        <v>2.52</v>
      </c>
      <c r="AW35" s="244">
        <v>56.1</v>
      </c>
      <c r="AX35" s="244">
        <v>181000</v>
      </c>
      <c r="AY35" s="246" t="s">
        <v>653</v>
      </c>
      <c r="BE35" s="275">
        <v>8</v>
      </c>
      <c r="BF35" s="281">
        <v>0.7</v>
      </c>
      <c r="BG35" s="282">
        <v>0.96</v>
      </c>
    </row>
    <row r="36" spans="1:59" ht="12.75">
      <c r="A36" s="85" t="s">
        <v>2</v>
      </c>
      <c r="B36" s="27">
        <f>$O$10</f>
        <v>-1.9033403871347845</v>
      </c>
      <c r="C36" s="96"/>
      <c r="D36" s="226" t="s">
        <v>860</v>
      </c>
      <c r="E36" s="44"/>
      <c r="F36" s="44"/>
      <c r="G36" s="44"/>
      <c r="H36" s="44"/>
      <c r="I36" s="44"/>
      <c r="J36" s="76"/>
      <c r="L36" s="107"/>
      <c r="N36" s="113" t="s">
        <v>103</v>
      </c>
      <c r="O36" s="79">
        <f>MAX((20000/($I$19*$C$12))/12,(SQRT(102000/$C$12)*$F$25)/12)</f>
        <v>19.617074701820467</v>
      </c>
      <c r="P36" s="156" t="s">
        <v>90</v>
      </c>
      <c r="Q36" s="119" t="s">
        <v>164</v>
      </c>
      <c r="R36" s="78"/>
      <c r="S36" s="78"/>
      <c r="T36" s="78"/>
      <c r="U36" s="1"/>
      <c r="V36" s="75"/>
      <c r="W36" s="75"/>
      <c r="AH36" s="243" t="s">
        <v>332</v>
      </c>
      <c r="AI36" s="244">
        <v>73.3</v>
      </c>
      <c r="AJ36" s="244">
        <v>39.4</v>
      </c>
      <c r="AK36" s="244">
        <v>0.75</v>
      </c>
      <c r="AL36" s="244">
        <v>15.8</v>
      </c>
      <c r="AM36" s="244">
        <v>1.42</v>
      </c>
      <c r="AN36" s="244">
        <v>2.6</v>
      </c>
      <c r="AO36" s="245">
        <v>4.1</v>
      </c>
      <c r="AP36" s="245">
        <v>1.76</v>
      </c>
      <c r="AQ36" s="244">
        <v>19600</v>
      </c>
      <c r="AR36" s="244">
        <v>993</v>
      </c>
      <c r="AS36" s="244">
        <v>16.3</v>
      </c>
      <c r="AT36" s="244">
        <v>926</v>
      </c>
      <c r="AU36" s="244">
        <v>118</v>
      </c>
      <c r="AV36" s="244">
        <v>3.55</v>
      </c>
      <c r="AW36" s="244">
        <v>38.1</v>
      </c>
      <c r="AX36" s="244">
        <v>334000</v>
      </c>
      <c r="AY36" s="246" t="s">
        <v>654</v>
      </c>
      <c r="BE36" s="275">
        <v>9</v>
      </c>
      <c r="BF36" s="281">
        <v>0.8</v>
      </c>
      <c r="BG36" s="282">
        <v>1.05</v>
      </c>
    </row>
    <row r="37" spans="1:59" ht="12.75">
      <c r="A37" s="85" t="s">
        <v>6</v>
      </c>
      <c r="B37" s="27">
        <f>$O$11</f>
        <v>0.5353867934721723</v>
      </c>
      <c r="C37" s="96"/>
      <c r="D37" s="226" t="s">
        <v>861</v>
      </c>
      <c r="E37" s="44"/>
      <c r="F37" s="44"/>
      <c r="G37" s="44"/>
      <c r="H37" s="44"/>
      <c r="I37" s="44"/>
      <c r="J37" s="76"/>
      <c r="L37" s="161"/>
      <c r="N37" s="113" t="s">
        <v>104</v>
      </c>
      <c r="O37" s="79">
        <f>IF($C$14&lt;=1,1*12/$F$25,$C$14*12/$F$25)</f>
        <v>94.00921658986175</v>
      </c>
      <c r="P37" s="77"/>
      <c r="Q37" s="78" t="s">
        <v>116</v>
      </c>
      <c r="S37" s="78"/>
      <c r="T37" s="78"/>
      <c r="U37" s="1"/>
      <c r="V37" s="75"/>
      <c r="W37" s="75"/>
      <c r="AH37" s="243" t="s">
        <v>333</v>
      </c>
      <c r="AI37" s="245">
        <v>71.7</v>
      </c>
      <c r="AJ37" s="245">
        <v>39.06</v>
      </c>
      <c r="AK37" s="245">
        <v>0.71</v>
      </c>
      <c r="AL37" s="245">
        <v>17.71</v>
      </c>
      <c r="AM37" s="245">
        <v>1.26</v>
      </c>
      <c r="AN37" s="245">
        <v>2.625</v>
      </c>
      <c r="AO37" s="245">
        <v>4.63</v>
      </c>
      <c r="AP37" s="245">
        <v>1.75</v>
      </c>
      <c r="AQ37" s="245">
        <v>19200</v>
      </c>
      <c r="AR37" s="245">
        <v>983</v>
      </c>
      <c r="AS37" s="245">
        <v>16.4</v>
      </c>
      <c r="AT37" s="245">
        <v>1170</v>
      </c>
      <c r="AU37" s="245">
        <v>132</v>
      </c>
      <c r="AV37" s="245">
        <v>4.04</v>
      </c>
      <c r="AW37" s="245">
        <v>30.4</v>
      </c>
      <c r="AX37" s="245">
        <v>417000</v>
      </c>
      <c r="AY37" s="246" t="s">
        <v>655</v>
      </c>
      <c r="BE37" s="275">
        <v>10</v>
      </c>
      <c r="BF37" s="281">
        <v>0.9</v>
      </c>
      <c r="BG37" s="282">
        <v>1.15</v>
      </c>
    </row>
    <row r="38" spans="1:59" ht="12.75" customHeight="1">
      <c r="A38" s="85" t="s">
        <v>245</v>
      </c>
      <c r="B38" s="27">
        <f>$O$12</f>
        <v>0.19202243042818046</v>
      </c>
      <c r="C38" s="96"/>
      <c r="D38" s="226" t="s">
        <v>862</v>
      </c>
      <c r="E38" s="44"/>
      <c r="F38" s="44"/>
      <c r="G38" s="44"/>
      <c r="H38" s="44"/>
      <c r="I38" s="44"/>
      <c r="J38" s="76"/>
      <c r="L38" s="107"/>
      <c r="N38" s="115" t="s">
        <v>105</v>
      </c>
      <c r="O38" s="1">
        <f>0</f>
        <v>0</v>
      </c>
      <c r="P38" s="77"/>
      <c r="Q38" s="290" t="s">
        <v>937</v>
      </c>
      <c r="R38" s="78"/>
      <c r="S38" s="78"/>
      <c r="T38" s="78"/>
      <c r="U38" s="1"/>
      <c r="V38" s="75"/>
      <c r="AH38" s="243" t="s">
        <v>334</v>
      </c>
      <c r="AI38" s="244">
        <v>69</v>
      </c>
      <c r="AJ38" s="244">
        <v>39.7</v>
      </c>
      <c r="AK38" s="244">
        <v>0.83</v>
      </c>
      <c r="AL38" s="244">
        <v>11.9</v>
      </c>
      <c r="AM38" s="244">
        <v>1.58</v>
      </c>
      <c r="AN38" s="244">
        <v>2.76</v>
      </c>
      <c r="AO38" s="245">
        <v>3.01</v>
      </c>
      <c r="AP38" s="245">
        <v>2.12</v>
      </c>
      <c r="AQ38" s="244">
        <v>17400</v>
      </c>
      <c r="AR38" s="244">
        <v>875</v>
      </c>
      <c r="AS38" s="244">
        <v>15.9</v>
      </c>
      <c r="AT38" s="244">
        <v>444</v>
      </c>
      <c r="AU38" s="244">
        <v>74.6</v>
      </c>
      <c r="AV38" s="244">
        <v>2.54</v>
      </c>
      <c r="AW38" s="244">
        <v>41.3</v>
      </c>
      <c r="AX38" s="244">
        <v>161000</v>
      </c>
      <c r="AY38" s="246" t="s">
        <v>656</v>
      </c>
      <c r="BE38" s="275">
        <v>11</v>
      </c>
      <c r="BF38" s="283">
        <v>1</v>
      </c>
      <c r="BG38" s="284">
        <v>1.28</v>
      </c>
    </row>
    <row r="39" spans="1:59" ht="12.75">
      <c r="A39" s="85" t="s">
        <v>246</v>
      </c>
      <c r="B39" s="28">
        <f>$O$13</f>
        <v>2.318745946013206</v>
      </c>
      <c r="C39" s="96"/>
      <c r="D39" s="226" t="s">
        <v>863</v>
      </c>
      <c r="E39" s="44"/>
      <c r="F39" s="44"/>
      <c r="G39" s="48"/>
      <c r="H39" s="44"/>
      <c r="I39" s="44"/>
      <c r="J39" s="76"/>
      <c r="L39" s="107"/>
      <c r="M39" s="111"/>
      <c r="N39" s="115" t="s">
        <v>107</v>
      </c>
      <c r="O39" s="72" t="str">
        <f>IF($C$14&lt;=$O$35,"Yes","No")</f>
        <v>No</v>
      </c>
      <c r="P39" s="156"/>
      <c r="R39" s="78"/>
      <c r="S39" s="78"/>
      <c r="T39" s="78"/>
      <c r="U39" s="1"/>
      <c r="V39" s="75"/>
      <c r="W39" s="78"/>
      <c r="AH39" s="243" t="s">
        <v>335</v>
      </c>
      <c r="AI39" s="245">
        <v>64.8</v>
      </c>
      <c r="AJ39" s="245">
        <v>38.67</v>
      </c>
      <c r="AK39" s="245">
        <v>0.71</v>
      </c>
      <c r="AL39" s="245">
        <v>17.71</v>
      </c>
      <c r="AM39" s="245">
        <v>1.065</v>
      </c>
      <c r="AN39" s="245">
        <v>2.4375</v>
      </c>
      <c r="AO39" s="245">
        <v>4.56</v>
      </c>
      <c r="AP39" s="245">
        <v>2.05</v>
      </c>
      <c r="AQ39" s="245">
        <v>16600</v>
      </c>
      <c r="AR39" s="245">
        <v>858</v>
      </c>
      <c r="AS39" s="245">
        <v>16</v>
      </c>
      <c r="AT39" s="245">
        <v>988</v>
      </c>
      <c r="AU39" s="245">
        <v>112</v>
      </c>
      <c r="AV39" s="245">
        <v>3.9</v>
      </c>
      <c r="AW39" s="245">
        <v>21.2</v>
      </c>
      <c r="AX39" s="245">
        <v>349000</v>
      </c>
      <c r="AY39" s="246" t="s">
        <v>657</v>
      </c>
      <c r="BE39" s="276">
        <f>MATCH($BG$39,$BG$28:$BG$38)</f>
        <v>2</v>
      </c>
      <c r="BF39" s="285">
        <f>VLOOKUP($BE$39,$BE$28:$BG$38,2)</f>
        <v>0.1</v>
      </c>
      <c r="BG39" s="286">
        <f>VLOOKUP($BC$27,$BF$28:$BG$38,2)</f>
        <v>0.7</v>
      </c>
    </row>
    <row r="40" spans="1:59" ht="12.75">
      <c r="A40" s="83"/>
      <c r="B40" s="44"/>
      <c r="C40" s="44"/>
      <c r="D40" s="44"/>
      <c r="E40" s="44"/>
      <c r="F40" s="44"/>
      <c r="G40" s="44"/>
      <c r="H40" s="44"/>
      <c r="I40" s="44"/>
      <c r="J40" s="76"/>
      <c r="L40" s="107"/>
      <c r="N40" s="115" t="s">
        <v>108</v>
      </c>
      <c r="O40" s="72" t="str">
        <f>IF($O$38&lt;=0.16,IF($O$16&lt;=640/SQRT($C$12)*(1-3.74*$O$38),"Yes","No"),IF($O$16&lt;=257/SQRT($C$12),"Yes","No"))</f>
        <v>Yes</v>
      </c>
      <c r="P40" s="77"/>
      <c r="Q40" s="123"/>
      <c r="R40" s="78"/>
      <c r="S40" s="78"/>
      <c r="T40" s="78"/>
      <c r="U40" s="1"/>
      <c r="V40" s="75"/>
      <c r="W40" s="78"/>
      <c r="AH40" s="243" t="s">
        <v>336</v>
      </c>
      <c r="AI40" s="244">
        <v>63.4</v>
      </c>
      <c r="AJ40" s="244">
        <v>39</v>
      </c>
      <c r="AK40" s="244">
        <v>0.65</v>
      </c>
      <c r="AL40" s="244">
        <v>15.8</v>
      </c>
      <c r="AM40" s="244">
        <v>1.22</v>
      </c>
      <c r="AN40" s="244">
        <v>2.4</v>
      </c>
      <c r="AO40" s="245">
        <v>4.09</v>
      </c>
      <c r="AP40" s="245">
        <v>2.03</v>
      </c>
      <c r="AQ40" s="244">
        <v>16700</v>
      </c>
      <c r="AR40" s="244">
        <v>859</v>
      </c>
      <c r="AS40" s="244">
        <v>16.2</v>
      </c>
      <c r="AT40" s="244">
        <v>796</v>
      </c>
      <c r="AU40" s="244">
        <v>101</v>
      </c>
      <c r="AV40" s="244">
        <v>3.54</v>
      </c>
      <c r="AW40" s="244">
        <v>24.8</v>
      </c>
      <c r="AX40" s="244">
        <v>284000</v>
      </c>
      <c r="AY40" s="246" t="s">
        <v>658</v>
      </c>
      <c r="BE40" s="277">
        <f>IF($BE$39&lt;=10,$BE$39+1,IF($B$40=11,11))</f>
        <v>3</v>
      </c>
      <c r="BF40" s="285">
        <f>VLOOKUP($BE$40,$BE$28:$BG$38,2)</f>
        <v>0.2</v>
      </c>
      <c r="BG40" s="286">
        <f>VLOOKUP($BE$40,$BE$28:$BG$38,3)</f>
        <v>0.73</v>
      </c>
    </row>
    <row r="41" spans="1:51" ht="12.75">
      <c r="A41" s="84" t="s">
        <v>232</v>
      </c>
      <c r="B41" s="47"/>
      <c r="C41" s="73"/>
      <c r="D41" s="46"/>
      <c r="E41" s="50"/>
      <c r="F41" s="44"/>
      <c r="G41" s="44"/>
      <c r="H41" s="44"/>
      <c r="I41" s="44"/>
      <c r="J41" s="76"/>
      <c r="L41" s="107"/>
      <c r="M41" s="81"/>
      <c r="N41" s="115" t="s">
        <v>110</v>
      </c>
      <c r="O41" s="70" t="str">
        <f>IF($O$15&lt;=65/SQRT($C$12),"Yes","No")</f>
        <v>Yes</v>
      </c>
      <c r="P41" s="77"/>
      <c r="Q41" s="123"/>
      <c r="R41" s="78"/>
      <c r="S41" s="78"/>
      <c r="T41" s="78"/>
      <c r="U41" s="1"/>
      <c r="V41" s="75"/>
      <c r="W41" s="78"/>
      <c r="AH41" s="243" t="s">
        <v>337</v>
      </c>
      <c r="AI41" s="244">
        <v>62</v>
      </c>
      <c r="AJ41" s="244">
        <v>39.4</v>
      </c>
      <c r="AK41" s="244">
        <v>0.75</v>
      </c>
      <c r="AL41" s="244">
        <v>11.8</v>
      </c>
      <c r="AM41" s="244">
        <v>1.42</v>
      </c>
      <c r="AN41" s="244">
        <v>2.6</v>
      </c>
      <c r="AO41" s="245">
        <v>2.98</v>
      </c>
      <c r="AP41" s="245">
        <v>2.36</v>
      </c>
      <c r="AQ41" s="244">
        <v>15500</v>
      </c>
      <c r="AR41" s="244">
        <v>786</v>
      </c>
      <c r="AS41" s="244">
        <v>15.8</v>
      </c>
      <c r="AT41" s="244">
        <v>390</v>
      </c>
      <c r="AU41" s="244">
        <v>66.1</v>
      </c>
      <c r="AV41" s="244">
        <v>2.51</v>
      </c>
      <c r="AW41" s="244">
        <v>30.4</v>
      </c>
      <c r="AX41" s="244">
        <v>140000</v>
      </c>
      <c r="AY41" s="246" t="s">
        <v>659</v>
      </c>
    </row>
    <row r="42" spans="1:51" ht="12.75">
      <c r="A42" s="85" t="s">
        <v>134</v>
      </c>
      <c r="B42" s="26">
        <f>$O$26</f>
        <v>8.3125</v>
      </c>
      <c r="C42" s="96" t="s">
        <v>90</v>
      </c>
      <c r="D42" s="48" t="str">
        <f>$Q$26</f>
        <v>x = 1/2*(L-S/2) (location of max. moments from left end of simple-span)</v>
      </c>
      <c r="E42" s="44"/>
      <c r="F42" s="44"/>
      <c r="G42" s="44"/>
      <c r="H42" s="44"/>
      <c r="I42" s="44"/>
      <c r="J42" s="76"/>
      <c r="L42" s="107"/>
      <c r="M42" s="81"/>
      <c r="N42" s="115" t="s">
        <v>111</v>
      </c>
      <c r="O42" s="70" t="str">
        <f>IF($O$15&gt;95/SQRT($C$12),"Yes","No")</f>
        <v>No</v>
      </c>
      <c r="P42" s="77"/>
      <c r="Q42" s="123"/>
      <c r="R42" s="78"/>
      <c r="S42" s="78"/>
      <c r="T42" s="78"/>
      <c r="U42" s="1"/>
      <c r="W42" s="306" t="s">
        <v>981</v>
      </c>
      <c r="X42" s="306"/>
      <c r="Y42" s="306"/>
      <c r="Z42" s="306"/>
      <c r="AA42" s="306"/>
      <c r="AB42" s="306"/>
      <c r="AC42" s="306"/>
      <c r="AD42" s="306"/>
      <c r="AE42" s="306"/>
      <c r="AH42" s="243" t="s">
        <v>338</v>
      </c>
      <c r="AI42" s="244">
        <v>58.5</v>
      </c>
      <c r="AJ42" s="244">
        <v>38.7</v>
      </c>
      <c r="AK42" s="244">
        <v>0.65</v>
      </c>
      <c r="AL42" s="244">
        <v>15.8</v>
      </c>
      <c r="AM42" s="244">
        <v>1.07</v>
      </c>
      <c r="AN42" s="244">
        <v>2.25</v>
      </c>
      <c r="AO42" s="245">
        <v>4.04</v>
      </c>
      <c r="AP42" s="245">
        <v>2.31</v>
      </c>
      <c r="AQ42" s="244">
        <v>14900</v>
      </c>
      <c r="AR42" s="244">
        <v>770</v>
      </c>
      <c r="AS42" s="244">
        <v>16</v>
      </c>
      <c r="AT42" s="244">
        <v>695</v>
      </c>
      <c r="AU42" s="244">
        <v>88.2</v>
      </c>
      <c r="AV42" s="244">
        <v>3.45</v>
      </c>
      <c r="AW42" s="244">
        <v>18.3</v>
      </c>
      <c r="AX42" s="244">
        <v>246000</v>
      </c>
      <c r="AY42" s="246" t="s">
        <v>660</v>
      </c>
    </row>
    <row r="43" spans="1:51" ht="12.75">
      <c r="A43" s="85" t="s">
        <v>22</v>
      </c>
      <c r="B43" s="17">
        <f>$O$27</f>
        <v>31.883174402573527</v>
      </c>
      <c r="C43" s="96" t="s">
        <v>24</v>
      </c>
      <c r="D43" s="48" t="str">
        <f>$Q$27</f>
        <v>Mx = (Pv/2)/(2*L)*(L-S/2)^2+w/1000*x/2*(L-x)</v>
      </c>
      <c r="E43" s="44"/>
      <c r="F43" s="44"/>
      <c r="G43" s="44"/>
      <c r="H43" s="44"/>
      <c r="I43" s="44"/>
      <c r="J43" s="76"/>
      <c r="K43" s="80"/>
      <c r="L43" s="107"/>
      <c r="M43" s="81"/>
      <c r="N43" s="115" t="s">
        <v>109</v>
      </c>
      <c r="O43" s="72" t="str">
        <f>IF(AND($O$39="Yes",$O$40="Yes",$O$41="Yes"),0.66*$C$12,"N.A.")</f>
        <v>N.A.</v>
      </c>
      <c r="P43" s="156" t="s">
        <v>117</v>
      </c>
      <c r="Q43" s="123" t="s">
        <v>122</v>
      </c>
      <c r="S43" s="78"/>
      <c r="T43" s="78"/>
      <c r="U43" s="1"/>
      <c r="V43" s="68"/>
      <c r="W43" s="307" t="s">
        <v>908</v>
      </c>
      <c r="X43" s="308"/>
      <c r="Y43" s="308"/>
      <c r="Z43" s="308"/>
      <c r="AA43" s="308"/>
      <c r="AB43" s="308"/>
      <c r="AC43" s="308"/>
      <c r="AD43" s="308"/>
      <c r="AE43" s="309"/>
      <c r="AH43" s="243" t="s">
        <v>339</v>
      </c>
      <c r="AI43" s="245">
        <v>56.5</v>
      </c>
      <c r="AJ43" s="245">
        <v>38.2</v>
      </c>
      <c r="AK43" s="245">
        <v>0.71</v>
      </c>
      <c r="AL43" s="245">
        <v>17.71</v>
      </c>
      <c r="AM43" s="245">
        <v>0.83</v>
      </c>
      <c r="AN43" s="245">
        <v>2.25</v>
      </c>
      <c r="AO43" s="245">
        <v>4.43</v>
      </c>
      <c r="AP43" s="245">
        <v>2.6</v>
      </c>
      <c r="AQ43" s="245">
        <v>13500</v>
      </c>
      <c r="AR43" s="245">
        <v>708</v>
      </c>
      <c r="AS43" s="245">
        <v>15.5</v>
      </c>
      <c r="AT43" s="245">
        <v>770</v>
      </c>
      <c r="AU43" s="245">
        <v>87</v>
      </c>
      <c r="AV43" s="245">
        <v>3.69</v>
      </c>
      <c r="AW43" s="245">
        <v>13.7</v>
      </c>
      <c r="AX43" s="245">
        <v>268000</v>
      </c>
      <c r="AY43" s="246" t="s">
        <v>661</v>
      </c>
    </row>
    <row r="44" spans="1:51" ht="12.75">
      <c r="A44" s="85" t="s">
        <v>23</v>
      </c>
      <c r="B44" s="16">
        <f>$O$28</f>
        <v>2.43874080882353</v>
      </c>
      <c r="C44" s="96" t="s">
        <v>24</v>
      </c>
      <c r="D44" s="120" t="str">
        <f>$Q$28</f>
        <v>My = (Ph/2)/(2*L)*(L-S/2)^2</v>
      </c>
      <c r="E44" s="44"/>
      <c r="F44" s="44"/>
      <c r="G44" s="44"/>
      <c r="H44" s="44"/>
      <c r="I44" s="44"/>
      <c r="J44" s="76"/>
      <c r="L44" s="107"/>
      <c r="M44" s="81"/>
      <c r="N44" s="115" t="s">
        <v>109</v>
      </c>
      <c r="O44" s="75" t="str">
        <f>IF(AND($O$39="Yes",$O$40="Yes",$O$41="No",$O$42="No"),$C$12*(0.79-0.002*$O$15*SQRT($C$12)),"N.A.")</f>
        <v>N.A.</v>
      </c>
      <c r="P44" s="156" t="s">
        <v>123</v>
      </c>
      <c r="Q44" s="123" t="s">
        <v>124</v>
      </c>
      <c r="S44" s="78"/>
      <c r="T44" s="78"/>
      <c r="U44" s="1"/>
      <c r="V44" s="71"/>
      <c r="W44" s="310" t="s">
        <v>158</v>
      </c>
      <c r="X44" s="311">
        <f>$F$20/2</f>
        <v>6.1</v>
      </c>
      <c r="Y44" s="312" t="s">
        <v>8</v>
      </c>
      <c r="Z44" s="313" t="s">
        <v>187</v>
      </c>
      <c r="AA44" s="313"/>
      <c r="AB44" s="313"/>
      <c r="AC44" s="313"/>
      <c r="AD44" s="313"/>
      <c r="AE44" s="314"/>
      <c r="AH44" s="243" t="s">
        <v>340</v>
      </c>
      <c r="AI44" s="244">
        <v>53.8</v>
      </c>
      <c r="AJ44" s="244">
        <v>39</v>
      </c>
      <c r="AK44" s="244">
        <v>0.65</v>
      </c>
      <c r="AL44" s="244">
        <v>11.8</v>
      </c>
      <c r="AM44" s="244">
        <v>1.22</v>
      </c>
      <c r="AN44" s="244">
        <v>2.4</v>
      </c>
      <c r="AO44" s="245">
        <v>2.98</v>
      </c>
      <c r="AP44" s="245">
        <v>2.71</v>
      </c>
      <c r="AQ44" s="244">
        <v>13300</v>
      </c>
      <c r="AR44" s="244">
        <v>683</v>
      </c>
      <c r="AS44" s="244">
        <v>15.7</v>
      </c>
      <c r="AT44" s="244">
        <v>336</v>
      </c>
      <c r="AU44" s="244">
        <v>56.9</v>
      </c>
      <c r="AV44" s="244">
        <v>2.5</v>
      </c>
      <c r="AW44" s="244">
        <v>20</v>
      </c>
      <c r="AX44" s="244">
        <v>120000</v>
      </c>
      <c r="AY44" s="246" t="s">
        <v>662</v>
      </c>
    </row>
    <row r="45" spans="1:51" ht="12.75">
      <c r="A45" s="83"/>
      <c r="B45" s="44"/>
      <c r="C45" s="44"/>
      <c r="D45" s="44"/>
      <c r="E45" s="44"/>
      <c r="F45" s="44"/>
      <c r="G45" s="44"/>
      <c r="H45" s="44"/>
      <c r="I45" s="44"/>
      <c r="J45" s="76"/>
      <c r="K45" s="81"/>
      <c r="L45" s="107"/>
      <c r="M45" s="81"/>
      <c r="N45" s="115" t="s">
        <v>109</v>
      </c>
      <c r="O45" s="75" t="str">
        <f>IF($C$14&lt;=76*$F$22/SQRT($C$12)/12,IF(OR($O$40="No",$O$41="No",$O$42="Yes"),$O$17*0.6*$C$12,"N.A."),"N.A.")</f>
        <v>N.A.</v>
      </c>
      <c r="P45" s="156" t="s">
        <v>118</v>
      </c>
      <c r="Q45" s="123" t="s">
        <v>125</v>
      </c>
      <c r="S45" s="116"/>
      <c r="T45" s="78"/>
      <c r="V45" s="49"/>
      <c r="W45" s="310" t="s">
        <v>184</v>
      </c>
      <c r="X45" s="311">
        <f>$B$33*$X$44</f>
        <v>3.66</v>
      </c>
      <c r="Y45" s="312" t="s">
        <v>186</v>
      </c>
      <c r="Z45" s="313" t="s">
        <v>188</v>
      </c>
      <c r="AA45" s="313"/>
      <c r="AB45" s="313"/>
      <c r="AC45" s="313"/>
      <c r="AD45" s="313"/>
      <c r="AE45" s="314"/>
      <c r="AH45" s="243" t="s">
        <v>341</v>
      </c>
      <c r="AI45" s="245">
        <v>51.1</v>
      </c>
      <c r="AJ45" s="245">
        <v>38.2</v>
      </c>
      <c r="AK45" s="245">
        <v>0.65</v>
      </c>
      <c r="AL45" s="245">
        <v>15.75</v>
      </c>
      <c r="AM45" s="245">
        <v>0.83</v>
      </c>
      <c r="AN45" s="248">
        <v>2</v>
      </c>
      <c r="AO45" s="245">
        <v>3.92</v>
      </c>
      <c r="AP45" s="245">
        <v>2.92</v>
      </c>
      <c r="AQ45" s="245">
        <v>12200</v>
      </c>
      <c r="AR45" s="245">
        <v>639</v>
      </c>
      <c r="AS45" s="245">
        <v>15.5</v>
      </c>
      <c r="AT45" s="245">
        <v>541</v>
      </c>
      <c r="AU45" s="245">
        <v>68.8</v>
      </c>
      <c r="AV45" s="245">
        <v>3.26</v>
      </c>
      <c r="AW45" s="245">
        <v>11.2</v>
      </c>
      <c r="AX45" s="245">
        <v>189000</v>
      </c>
      <c r="AY45" s="246" t="s">
        <v>663</v>
      </c>
    </row>
    <row r="46" spans="1:51" ht="12.75">
      <c r="A46" s="158" t="s">
        <v>169</v>
      </c>
      <c r="B46" s="157"/>
      <c r="C46" s="157"/>
      <c r="D46" s="157"/>
      <c r="E46" s="157"/>
      <c r="F46" s="157"/>
      <c r="G46" s="210" t="s">
        <v>933</v>
      </c>
      <c r="H46" s="44"/>
      <c r="I46" s="44"/>
      <c r="J46" s="76"/>
      <c r="K46" s="81"/>
      <c r="L46" s="107"/>
      <c r="M46" s="81"/>
      <c r="N46" s="115" t="s">
        <v>109</v>
      </c>
      <c r="O46" s="75">
        <f>IF($C$14&gt;$O$35,IF(OR($O$39="No",$O$40="No",$O$42="Yes"),IF(AND($O$37&gt;SQRT(102000*$C$15/$C$12),$O$37&lt;=SQRT(510000*$C$15/$C$12)),MIN((2/3-$C$12*$O$37^2/(1530000*$C$15))*$C$12,$O$17*0.6*$C$12),"N.A."),"N.A."),"N.A.")</f>
        <v>16.51392044851239</v>
      </c>
      <c r="P46" s="77" t="s">
        <v>119</v>
      </c>
      <c r="Q46" s="123" t="s">
        <v>126</v>
      </c>
      <c r="S46" s="116"/>
      <c r="T46" s="78"/>
      <c r="V46" s="49"/>
      <c r="W46" s="310" t="s">
        <v>160</v>
      </c>
      <c r="X46" s="311">
        <f>SQRT(29000*$I$25/($I$24*11200))</f>
        <v>53.35447575922932</v>
      </c>
      <c r="Y46" s="312"/>
      <c r="Z46" s="313" t="s">
        <v>161</v>
      </c>
      <c r="AA46" s="313"/>
      <c r="AB46" s="313"/>
      <c r="AC46" s="313"/>
      <c r="AD46" s="313"/>
      <c r="AE46" s="314"/>
      <c r="AH46" s="243" t="s">
        <v>342</v>
      </c>
      <c r="AI46" s="244">
        <v>49.2</v>
      </c>
      <c r="AJ46" s="244">
        <v>38.6</v>
      </c>
      <c r="AK46" s="244">
        <v>0.65</v>
      </c>
      <c r="AL46" s="244">
        <v>11.8</v>
      </c>
      <c r="AM46" s="244">
        <v>1.02</v>
      </c>
      <c r="AN46" s="244">
        <v>2.21</v>
      </c>
      <c r="AO46" s="245">
        <v>2.91</v>
      </c>
      <c r="AP46" s="245">
        <v>3.19</v>
      </c>
      <c r="AQ46" s="244">
        <v>11600</v>
      </c>
      <c r="AR46" s="244">
        <v>600</v>
      </c>
      <c r="AS46" s="244">
        <v>15.3</v>
      </c>
      <c r="AT46" s="244">
        <v>283</v>
      </c>
      <c r="AU46" s="244">
        <v>47.9</v>
      </c>
      <c r="AV46" s="244">
        <v>2.4</v>
      </c>
      <c r="AW46" s="244">
        <v>14</v>
      </c>
      <c r="AX46" s="244">
        <v>99800</v>
      </c>
      <c r="AY46" s="246" t="s">
        <v>664</v>
      </c>
    </row>
    <row r="47" spans="1:51" ht="12.75">
      <c r="A47" s="159" t="s">
        <v>158</v>
      </c>
      <c r="B47" s="26">
        <f>$O$30</f>
        <v>6.1</v>
      </c>
      <c r="C47" s="172" t="s">
        <v>8</v>
      </c>
      <c r="D47" s="120" t="str">
        <f>$Q$30</f>
        <v>e = d/2 (assume horiz. load taken at bot. flange)</v>
      </c>
      <c r="E47" s="157"/>
      <c r="F47" s="157"/>
      <c r="G47" s="157"/>
      <c r="H47" s="44"/>
      <c r="I47" s="44"/>
      <c r="J47" s="76"/>
      <c r="K47" s="81"/>
      <c r="L47" s="107"/>
      <c r="M47" s="75"/>
      <c r="N47" s="115" t="s">
        <v>109</v>
      </c>
      <c r="O47" s="75" t="str">
        <f>IF($C$14&gt;$O$35,IF(OR($O$39="No",$O$40="No",$O$42="Yes"),IF(AND($O$37&gt;SQRT(102000*$C$15/$C$12),$O$37&gt;SQRT(510000*$C$15/$C$12)),MIN(170000*$C$15/$O$37^2,$O$17*0.6*$C$12),"N.A."),"N.A."),"N.A.")</f>
        <v>N.A.</v>
      </c>
      <c r="P47" s="77" t="s">
        <v>120</v>
      </c>
      <c r="Q47" s="123" t="s">
        <v>127</v>
      </c>
      <c r="S47" s="116"/>
      <c r="T47" s="78"/>
      <c r="U47" s="71"/>
      <c r="V47" s="45"/>
      <c r="W47" s="310" t="s">
        <v>189</v>
      </c>
      <c r="X47" s="315">
        <f>($F$20-$F$23)*$F$22/4</f>
        <v>23.3512</v>
      </c>
      <c r="Y47" s="316" t="s">
        <v>17</v>
      </c>
      <c r="Z47" s="313" t="s">
        <v>190</v>
      </c>
      <c r="AA47" s="313"/>
      <c r="AB47" s="313"/>
      <c r="AC47" s="313"/>
      <c r="AD47" s="313"/>
      <c r="AE47" s="314"/>
      <c r="AH47" s="243" t="s">
        <v>343</v>
      </c>
      <c r="AI47" s="244">
        <v>43.8</v>
      </c>
      <c r="AJ47" s="244">
        <v>38.2</v>
      </c>
      <c r="AK47" s="244">
        <v>0.63</v>
      </c>
      <c r="AL47" s="244">
        <v>11.8</v>
      </c>
      <c r="AM47" s="244">
        <v>0.83</v>
      </c>
      <c r="AN47" s="244">
        <v>2.01</v>
      </c>
      <c r="AO47" s="245">
        <v>2.84</v>
      </c>
      <c r="AP47" s="245">
        <v>3.9</v>
      </c>
      <c r="AQ47" s="244">
        <v>9800</v>
      </c>
      <c r="AR47" s="244">
        <v>513</v>
      </c>
      <c r="AS47" s="244">
        <v>15</v>
      </c>
      <c r="AT47" s="244">
        <v>229</v>
      </c>
      <c r="AU47" s="244">
        <v>38.8</v>
      </c>
      <c r="AV47" s="244">
        <v>2.29</v>
      </c>
      <c r="AW47" s="244">
        <v>9.36</v>
      </c>
      <c r="AX47" s="244">
        <v>80000</v>
      </c>
      <c r="AY47" s="246" t="s">
        <v>665</v>
      </c>
    </row>
    <row r="48" spans="1:51" ht="12.75">
      <c r="A48" s="159" t="s">
        <v>160</v>
      </c>
      <c r="B48" s="27">
        <f>$O$31</f>
        <v>53.35447575922932</v>
      </c>
      <c r="C48" s="173"/>
      <c r="D48" s="120" t="str">
        <f>$Q$31</f>
        <v>at = SQRT(E*Cw/(J*G)) , E=29000 ksi  and  G=11200 ksi</v>
      </c>
      <c r="E48" s="157"/>
      <c r="F48" s="157"/>
      <c r="G48" s="157"/>
      <c r="H48" s="44"/>
      <c r="I48" s="44"/>
      <c r="J48" s="76"/>
      <c r="K48" s="81"/>
      <c r="L48" s="107"/>
      <c r="M48" s="81"/>
      <c r="N48" s="115" t="s">
        <v>109</v>
      </c>
      <c r="O48" s="75">
        <f>IF($C$14&gt;$O$35,IF(OR($O$39="No",$O$40="No",$O$42="Yes"),MIN(12000*$C$15/($C$14*12*$I$19),$O$17*0.6*$C$12),"N.A."),$O$17*0.6*$C$12)</f>
        <v>21.599999999999998</v>
      </c>
      <c r="P48" s="77" t="s">
        <v>121</v>
      </c>
      <c r="Q48" s="123" t="s">
        <v>957</v>
      </c>
      <c r="S48" s="78"/>
      <c r="T48" s="78"/>
      <c r="U48" s="49"/>
      <c r="V48" s="45"/>
      <c r="W48" s="317" t="s">
        <v>982</v>
      </c>
      <c r="X48" s="311">
        <f>0.5</f>
        <v>0.5</v>
      </c>
      <c r="Y48" s="312"/>
      <c r="Z48" s="318" t="s">
        <v>983</v>
      </c>
      <c r="AA48" s="313"/>
      <c r="AB48" s="313"/>
      <c r="AC48" s="313"/>
      <c r="AD48" s="313"/>
      <c r="AE48" s="314"/>
      <c r="AH48" s="243" t="s">
        <v>344</v>
      </c>
      <c r="AI48" s="245">
        <v>249</v>
      </c>
      <c r="AJ48" s="245">
        <v>42.45</v>
      </c>
      <c r="AK48" s="245">
        <v>2.52</v>
      </c>
      <c r="AL48" s="245">
        <v>18.13</v>
      </c>
      <c r="AM48" s="245">
        <v>4.53</v>
      </c>
      <c r="AN48" s="245">
        <v>5.6875</v>
      </c>
      <c r="AO48" s="245">
        <v>4.84</v>
      </c>
      <c r="AP48" s="245">
        <v>0.52</v>
      </c>
      <c r="AQ48" s="245">
        <v>67400</v>
      </c>
      <c r="AR48" s="245">
        <v>3170</v>
      </c>
      <c r="AS48" s="245">
        <v>16.4</v>
      </c>
      <c r="AT48" s="245">
        <v>4550</v>
      </c>
      <c r="AU48" s="245">
        <v>501</v>
      </c>
      <c r="AV48" s="245">
        <v>4.27</v>
      </c>
      <c r="AW48" s="245">
        <v>1270</v>
      </c>
      <c r="AX48" s="245">
        <v>1620000</v>
      </c>
      <c r="AY48" s="246" t="s">
        <v>666</v>
      </c>
    </row>
    <row r="49" spans="1:51" ht="12.75">
      <c r="A49" s="159" t="s">
        <v>159</v>
      </c>
      <c r="B49" s="16">
        <f>$O$32</f>
        <v>0.6737516569031508</v>
      </c>
      <c r="C49" s="172" t="s">
        <v>24</v>
      </c>
      <c r="D49" s="120" t="str">
        <f>$Q$32</f>
        <v>Mt = Ph*e*at/(2*(d-tf))*TANH(L*12/(2*at))/12</v>
      </c>
      <c r="E49" s="157"/>
      <c r="F49" s="157"/>
      <c r="G49" s="157"/>
      <c r="H49" s="44"/>
      <c r="I49" s="44"/>
      <c r="J49" s="76"/>
      <c r="L49" s="107"/>
      <c r="M49" s="81"/>
      <c r="N49" s="115" t="s">
        <v>109</v>
      </c>
      <c r="O49" s="75">
        <f>IF($O$37&gt;SQRT(102000*$C$15/$C$12),IF($O$37&lt;=SQRT(510000*$C$15/$C$12),MIN(MAX($O$46,$O$48),$O$17*0.6*$C$12),MIN(MAX($O$47,$O$48),$O$17*0.6*$C$12)),$O$17*0.6*$C$12)</f>
        <v>21.599999999999998</v>
      </c>
      <c r="P49" s="77" t="s">
        <v>128</v>
      </c>
      <c r="Q49" s="78"/>
      <c r="R49" s="78"/>
      <c r="S49" s="78"/>
      <c r="T49" s="78"/>
      <c r="U49" s="49"/>
      <c r="V49" s="45"/>
      <c r="W49" s="310" t="s">
        <v>185</v>
      </c>
      <c r="X49" s="311">
        <f>$C$13*12/2</f>
        <v>102</v>
      </c>
      <c r="Y49" s="312" t="s">
        <v>8</v>
      </c>
      <c r="Z49" s="313" t="s">
        <v>219</v>
      </c>
      <c r="AA49" s="313"/>
      <c r="AB49" s="313"/>
      <c r="AC49" s="313"/>
      <c r="AD49" s="313"/>
      <c r="AE49" s="314"/>
      <c r="AH49" s="243" t="s">
        <v>345</v>
      </c>
      <c r="AI49" s="244">
        <v>235</v>
      </c>
      <c r="AJ49" s="244">
        <v>42</v>
      </c>
      <c r="AK49" s="244">
        <v>2.38</v>
      </c>
      <c r="AL49" s="244">
        <v>18</v>
      </c>
      <c r="AM49" s="244">
        <v>4.29</v>
      </c>
      <c r="AN49" s="244">
        <v>5.24</v>
      </c>
      <c r="AO49" s="245">
        <v>4.8</v>
      </c>
      <c r="AP49" s="245">
        <v>0.54</v>
      </c>
      <c r="AQ49" s="244">
        <v>62600</v>
      </c>
      <c r="AR49" s="244">
        <v>2980</v>
      </c>
      <c r="AS49" s="244">
        <v>16.3</v>
      </c>
      <c r="AT49" s="244">
        <v>4200</v>
      </c>
      <c r="AU49" s="244">
        <v>467</v>
      </c>
      <c r="AV49" s="244">
        <v>4.23</v>
      </c>
      <c r="AW49" s="244">
        <v>1050</v>
      </c>
      <c r="AX49" s="244">
        <v>1490000</v>
      </c>
      <c r="AY49" s="246" t="s">
        <v>667</v>
      </c>
    </row>
    <row r="50" spans="1:51" ht="12.75">
      <c r="A50" s="83"/>
      <c r="B50" s="44"/>
      <c r="C50" s="44"/>
      <c r="D50" s="44"/>
      <c r="E50" s="44"/>
      <c r="F50" s="44"/>
      <c r="G50" s="44"/>
      <c r="H50" s="44"/>
      <c r="I50" s="44"/>
      <c r="J50" s="76"/>
      <c r="L50" s="113"/>
      <c r="N50" s="121" t="s">
        <v>112</v>
      </c>
      <c r="O50" s="79">
        <f>IF($O$39="Yes",IF($O$40="Yes",IF($O$41="Yes",$O$43,IF($O$42="No",$O$44,$O$49)),$O$49),$O$49)</f>
        <v>21.599999999999998</v>
      </c>
      <c r="P50" s="156" t="s">
        <v>9</v>
      </c>
      <c r="Q50" s="78"/>
      <c r="R50" s="78"/>
      <c r="S50" s="78"/>
      <c r="T50" s="78"/>
      <c r="U50" s="45"/>
      <c r="V50" s="45"/>
      <c r="W50" s="310" t="s">
        <v>182</v>
      </c>
      <c r="X50" s="319">
        <f>$X$45/($I$24*11200)</f>
        <v>0.00019110275689223057</v>
      </c>
      <c r="Y50" s="312"/>
      <c r="Z50" s="313" t="s">
        <v>191</v>
      </c>
      <c r="AA50" s="313"/>
      <c r="AB50" s="313"/>
      <c r="AC50" s="313"/>
      <c r="AD50" s="313"/>
      <c r="AE50" s="314"/>
      <c r="AH50" s="243" t="s">
        <v>346</v>
      </c>
      <c r="AI50" s="245">
        <v>211</v>
      </c>
      <c r="AJ50" s="245">
        <v>41.19</v>
      </c>
      <c r="AK50" s="245">
        <v>2.165</v>
      </c>
      <c r="AL50" s="245">
        <v>17.775</v>
      </c>
      <c r="AM50" s="245">
        <v>3.9</v>
      </c>
      <c r="AN50" s="245">
        <v>5.0625</v>
      </c>
      <c r="AO50" s="245">
        <v>4.73</v>
      </c>
      <c r="AP50" s="245">
        <v>0.59</v>
      </c>
      <c r="AQ50" s="245">
        <v>55300</v>
      </c>
      <c r="AR50" s="245">
        <v>2690</v>
      </c>
      <c r="AS50" s="245">
        <v>16.2</v>
      </c>
      <c r="AT50" s="245">
        <v>3680</v>
      </c>
      <c r="AU50" s="245">
        <v>414</v>
      </c>
      <c r="AV50" s="245">
        <v>4.18</v>
      </c>
      <c r="AW50" s="245">
        <v>804</v>
      </c>
      <c r="AX50" s="245">
        <v>1270000</v>
      </c>
      <c r="AY50" s="246" t="s">
        <v>668</v>
      </c>
    </row>
    <row r="51" spans="1:51" ht="12.75">
      <c r="A51" s="84" t="s">
        <v>236</v>
      </c>
      <c r="B51" s="44"/>
      <c r="C51" s="44"/>
      <c r="D51" s="44"/>
      <c r="E51" s="44"/>
      <c r="F51" s="44"/>
      <c r="G51" s="44"/>
      <c r="H51" s="44"/>
      <c r="I51" s="44"/>
      <c r="J51" s="76"/>
      <c r="L51" s="113"/>
      <c r="N51" s="108" t="s">
        <v>237</v>
      </c>
      <c r="U51" s="45"/>
      <c r="V51" s="79"/>
      <c r="W51" s="310" t="s">
        <v>183</v>
      </c>
      <c r="X51" s="319">
        <f>SINH($X$48*$C$13*12/$X$46)/TANH($C$13*12/$X$46)-COSH($X$48*$C$13*12/$X$46)</f>
        <v>-0.1446615569989258</v>
      </c>
      <c r="Y51" s="312"/>
      <c r="Z51" s="313" t="s">
        <v>984</v>
      </c>
      <c r="AA51" s="313"/>
      <c r="AB51" s="313"/>
      <c r="AC51" s="313"/>
      <c r="AD51" s="313"/>
      <c r="AE51" s="314"/>
      <c r="AH51" s="243" t="s">
        <v>347</v>
      </c>
      <c r="AI51" s="244">
        <v>191</v>
      </c>
      <c r="AJ51" s="244">
        <v>40.5</v>
      </c>
      <c r="AK51" s="244">
        <v>1.97</v>
      </c>
      <c r="AL51" s="244">
        <v>17.6</v>
      </c>
      <c r="AM51" s="244">
        <v>3.54</v>
      </c>
      <c r="AN51" s="244">
        <v>4.49</v>
      </c>
      <c r="AO51" s="245">
        <v>4.67</v>
      </c>
      <c r="AP51" s="245">
        <v>0.65</v>
      </c>
      <c r="AQ51" s="244">
        <v>48900</v>
      </c>
      <c r="AR51" s="244">
        <v>2420</v>
      </c>
      <c r="AS51" s="244">
        <v>16</v>
      </c>
      <c r="AT51" s="244">
        <v>3230</v>
      </c>
      <c r="AU51" s="244">
        <v>367</v>
      </c>
      <c r="AV51" s="244">
        <v>4.11</v>
      </c>
      <c r="AW51" s="244">
        <v>591</v>
      </c>
      <c r="AX51" s="244">
        <v>1100000</v>
      </c>
      <c r="AY51" s="246" t="s">
        <v>669</v>
      </c>
    </row>
    <row r="52" spans="1:51" ht="12.75">
      <c r="A52" s="85" t="s">
        <v>25</v>
      </c>
      <c r="B52" s="15">
        <f>$O$34</f>
        <v>5.959471850948322</v>
      </c>
      <c r="C52" s="96" t="s">
        <v>9</v>
      </c>
      <c r="D52" s="48" t="str">
        <f>$Q$34</f>
        <v>fbx = Mx/Sx</v>
      </c>
      <c r="E52" s="44"/>
      <c r="F52" s="44"/>
      <c r="G52" s="44"/>
      <c r="H52" s="44"/>
      <c r="I52" s="44"/>
      <c r="J52" s="76"/>
      <c r="N52" s="115" t="s">
        <v>192</v>
      </c>
      <c r="O52" s="75">
        <f>$O$28*12/$I$23</f>
        <v>2.10538774862463</v>
      </c>
      <c r="P52" s="156" t="s">
        <v>9</v>
      </c>
      <c r="Q52" s="123" t="s">
        <v>193</v>
      </c>
      <c r="R52" s="78"/>
      <c r="S52" s="78"/>
      <c r="T52" s="78"/>
      <c r="U52" s="45"/>
      <c r="V52" s="79"/>
      <c r="W52" s="317" t="s">
        <v>985</v>
      </c>
      <c r="X52" s="319">
        <f>$X$50*$X$51/$X$46*SINH($X$49/$X$46)</f>
        <v>-1.714285213602443E-06</v>
      </c>
      <c r="Y52" s="312"/>
      <c r="Z52" s="318" t="s">
        <v>986</v>
      </c>
      <c r="AA52" s="313"/>
      <c r="AB52" s="313"/>
      <c r="AC52" s="313"/>
      <c r="AD52" s="313"/>
      <c r="AE52" s="314"/>
      <c r="AH52" s="243" t="s">
        <v>348</v>
      </c>
      <c r="AI52" s="245">
        <v>172</v>
      </c>
      <c r="AJ52" s="245">
        <v>39.84</v>
      </c>
      <c r="AK52" s="245">
        <v>1.79</v>
      </c>
      <c r="AL52" s="245">
        <v>17.4</v>
      </c>
      <c r="AM52" s="245">
        <v>3.23</v>
      </c>
      <c r="AN52" s="245">
        <v>4.375</v>
      </c>
      <c r="AO52" s="245">
        <v>4.62</v>
      </c>
      <c r="AP52" s="245">
        <v>0.71</v>
      </c>
      <c r="AQ52" s="245">
        <v>43500</v>
      </c>
      <c r="AR52" s="245">
        <v>2180</v>
      </c>
      <c r="AS52" s="245">
        <v>15.9</v>
      </c>
      <c r="AT52" s="245">
        <v>2850</v>
      </c>
      <c r="AU52" s="245">
        <v>328</v>
      </c>
      <c r="AV52" s="245">
        <v>4.07</v>
      </c>
      <c r="AW52" s="245">
        <v>453</v>
      </c>
      <c r="AX52" s="245">
        <v>950000</v>
      </c>
      <c r="AY52" s="246" t="s">
        <v>670</v>
      </c>
    </row>
    <row r="53" spans="1:51" ht="12.75">
      <c r="A53" s="117" t="s">
        <v>104</v>
      </c>
      <c r="B53" s="17">
        <f>$O$37</f>
        <v>94.00921658986175</v>
      </c>
      <c r="C53" s="104"/>
      <c r="D53" s="44" t="str">
        <f>$Q$37</f>
        <v>Lb/rt = Lb*12/rt</v>
      </c>
      <c r="E53" s="44"/>
      <c r="F53" s="44"/>
      <c r="G53" s="44"/>
      <c r="H53" s="44"/>
      <c r="I53" s="44"/>
      <c r="J53" s="76"/>
      <c r="N53" s="136" t="s">
        <v>194</v>
      </c>
      <c r="O53" s="75">
        <f>$O$32*12/($I$23/2)</f>
        <v>1.163312213357958</v>
      </c>
      <c r="P53" s="156" t="s">
        <v>9</v>
      </c>
      <c r="Q53" s="78" t="s">
        <v>195</v>
      </c>
      <c r="T53" s="78"/>
      <c r="W53" s="320" t="s">
        <v>987</v>
      </c>
      <c r="X53" s="321">
        <f>ABS(29000*$X$47*$X$52)</f>
        <v>1.1608878895163275</v>
      </c>
      <c r="Y53" s="322" t="s">
        <v>9</v>
      </c>
      <c r="Z53" s="323" t="s">
        <v>988</v>
      </c>
      <c r="AA53" s="324"/>
      <c r="AB53" s="324"/>
      <c r="AC53" s="324"/>
      <c r="AD53" s="324"/>
      <c r="AE53" s="325"/>
      <c r="AH53" s="243" t="s">
        <v>349</v>
      </c>
      <c r="AI53" s="244">
        <v>155</v>
      </c>
      <c r="AJ53" s="244">
        <v>39.2</v>
      </c>
      <c r="AK53" s="244">
        <v>1.61</v>
      </c>
      <c r="AL53" s="244">
        <v>17.2</v>
      </c>
      <c r="AM53" s="244">
        <v>2.91</v>
      </c>
      <c r="AN53" s="244">
        <v>3.86</v>
      </c>
      <c r="AO53" s="245">
        <v>4.57</v>
      </c>
      <c r="AP53" s="245">
        <v>0.78</v>
      </c>
      <c r="AQ53" s="244">
        <v>38300</v>
      </c>
      <c r="AR53" s="244">
        <v>1950</v>
      </c>
      <c r="AS53" s="244">
        <v>15.7</v>
      </c>
      <c r="AT53" s="244">
        <v>2490</v>
      </c>
      <c r="AU53" s="244">
        <v>289</v>
      </c>
      <c r="AV53" s="244">
        <v>4.01</v>
      </c>
      <c r="AW53" s="244">
        <v>327</v>
      </c>
      <c r="AX53" s="244">
        <v>820000</v>
      </c>
      <c r="AY53" s="246" t="s">
        <v>671</v>
      </c>
    </row>
    <row r="54" spans="1:54" ht="12.75">
      <c r="A54" s="85" t="s">
        <v>109</v>
      </c>
      <c r="B54" s="16">
        <f>$O$50</f>
        <v>21.599999999999998</v>
      </c>
      <c r="C54" s="96" t="s">
        <v>9</v>
      </c>
      <c r="D54" s="44" t="str">
        <f>VLOOKUP($O$50,$O$43:$Q$48,3,FALSE)</f>
        <v>Fbx = 12000*Cb/(Lb*12*(d/Af)) &lt;= 0.60*Fy</v>
      </c>
      <c r="E54" s="44"/>
      <c r="F54" s="44"/>
      <c r="G54" s="44"/>
      <c r="H54" s="44"/>
      <c r="I54" s="44"/>
      <c r="J54" s="206" t="str">
        <f>IF($B$52&lt;=$B$54,"fbx &lt;= Fbx,  O.K.  ","fbx &gt; Fbx  ")</f>
        <v>fbx &lt;= Fbx,  O.K.  </v>
      </c>
      <c r="N54" s="136" t="s">
        <v>166</v>
      </c>
      <c r="O54" s="75">
        <f>$O$52+$O$53</f>
        <v>3.2686999619825885</v>
      </c>
      <c r="P54" s="156" t="s">
        <v>9</v>
      </c>
      <c r="Q54" s="78" t="s">
        <v>196</v>
      </c>
      <c r="AH54" s="243" t="s">
        <v>350</v>
      </c>
      <c r="AI54" s="245">
        <v>142</v>
      </c>
      <c r="AJ54" s="245">
        <v>38.74</v>
      </c>
      <c r="AK54" s="245">
        <v>1.5</v>
      </c>
      <c r="AL54" s="245">
        <v>17.105</v>
      </c>
      <c r="AM54" s="245">
        <v>2.68</v>
      </c>
      <c r="AN54" s="245">
        <v>3.8125</v>
      </c>
      <c r="AO54" s="245">
        <v>4.53</v>
      </c>
      <c r="AP54" s="245">
        <v>0.85</v>
      </c>
      <c r="AQ54" s="245">
        <v>34700</v>
      </c>
      <c r="AR54" s="245">
        <v>1790</v>
      </c>
      <c r="AS54" s="245">
        <v>15.6</v>
      </c>
      <c r="AT54" s="245">
        <v>2250</v>
      </c>
      <c r="AU54" s="245">
        <v>263</v>
      </c>
      <c r="AV54" s="245">
        <v>3.98</v>
      </c>
      <c r="AW54" s="245">
        <v>260</v>
      </c>
      <c r="AX54" s="245">
        <v>727000</v>
      </c>
      <c r="AY54" s="246" t="s">
        <v>672</v>
      </c>
      <c r="BA54" s="204" t="s">
        <v>225</v>
      </c>
      <c r="BB54" s="205">
        <f>$B$52/$B$54</f>
        <v>0.2759014745809409</v>
      </c>
    </row>
    <row r="55" spans="1:51" ht="12.75">
      <c r="A55" s="98"/>
      <c r="B55" s="91"/>
      <c r="C55" s="91"/>
      <c r="D55" s="91"/>
      <c r="E55" s="91"/>
      <c r="F55" s="91"/>
      <c r="G55" s="91"/>
      <c r="H55" s="91"/>
      <c r="I55" s="91"/>
      <c r="J55" s="102" t="s">
        <v>85</v>
      </c>
      <c r="N55" s="121" t="s">
        <v>106</v>
      </c>
      <c r="O55" s="79">
        <f>IF($O$15&lt;=65/SQRT($C$12),0.75*$C$12,IF($O$15&lt;=95/SQRT($C$12),$C$12*(1.075-0.005*$F$22/(2*$F$23)*SQRT($C$12)),$O$17*0.6*$C$12))</f>
        <v>27</v>
      </c>
      <c r="P55" s="156" t="s">
        <v>9</v>
      </c>
      <c r="Q55" s="119" t="str">
        <f>IF($O$15&lt;=65/SQRT($C$12),"Fby = 0.75*Fy",IF($O$15&lt;=95/SQRT($C$12),"Fby = Fy*(1.075-0.005*bf/(2*tf)*SQRT(Fy))","Qs*0.6*Fy"))</f>
        <v>Fby = 0.75*Fy</v>
      </c>
      <c r="R55" s="78"/>
      <c r="S55" s="78"/>
      <c r="AH55" s="243" t="s">
        <v>351</v>
      </c>
      <c r="AI55" s="244">
        <v>129</v>
      </c>
      <c r="AJ55" s="244">
        <v>38.3</v>
      </c>
      <c r="AK55" s="244">
        <v>1.36</v>
      </c>
      <c r="AL55" s="244">
        <v>17</v>
      </c>
      <c r="AM55" s="244">
        <v>2.44</v>
      </c>
      <c r="AN55" s="244">
        <v>3.39</v>
      </c>
      <c r="AO55" s="245">
        <v>4.49</v>
      </c>
      <c r="AP55" s="245">
        <v>0.92</v>
      </c>
      <c r="AQ55" s="244">
        <v>31000</v>
      </c>
      <c r="AR55" s="244">
        <v>1620</v>
      </c>
      <c r="AS55" s="244">
        <v>15.5</v>
      </c>
      <c r="AT55" s="244">
        <v>1990</v>
      </c>
      <c r="AU55" s="244">
        <v>235</v>
      </c>
      <c r="AV55" s="244">
        <v>3.93</v>
      </c>
      <c r="AW55" s="244">
        <v>193</v>
      </c>
      <c r="AX55" s="244">
        <v>638000</v>
      </c>
      <c r="AY55" s="246" t="s">
        <v>673</v>
      </c>
    </row>
    <row r="56" spans="1:51" ht="12.75">
      <c r="A56" s="99"/>
      <c r="B56" s="100"/>
      <c r="C56" s="100"/>
      <c r="D56" s="100"/>
      <c r="E56" s="100"/>
      <c r="F56" s="100"/>
      <c r="G56" s="100"/>
      <c r="H56" s="100"/>
      <c r="I56" s="100"/>
      <c r="J56" s="101"/>
      <c r="N56" s="143" t="s">
        <v>170</v>
      </c>
      <c r="AH56" s="243" t="s">
        <v>352</v>
      </c>
      <c r="AI56" s="244">
        <v>116</v>
      </c>
      <c r="AJ56" s="244">
        <v>37.8</v>
      </c>
      <c r="AK56" s="244">
        <v>1.22</v>
      </c>
      <c r="AL56" s="244">
        <v>16.8</v>
      </c>
      <c r="AM56" s="244">
        <v>2.2</v>
      </c>
      <c r="AN56" s="244">
        <v>3.15</v>
      </c>
      <c r="AO56" s="245">
        <v>4.45</v>
      </c>
      <c r="AP56" s="245">
        <v>1.02</v>
      </c>
      <c r="AQ56" s="244">
        <v>27500</v>
      </c>
      <c r="AR56" s="244">
        <v>1450</v>
      </c>
      <c r="AS56" s="244">
        <v>15.4</v>
      </c>
      <c r="AT56" s="244">
        <v>1750</v>
      </c>
      <c r="AU56" s="244">
        <v>208</v>
      </c>
      <c r="AV56" s="244">
        <v>3.9</v>
      </c>
      <c r="AW56" s="244">
        <v>141</v>
      </c>
      <c r="AX56" s="244">
        <v>554000</v>
      </c>
      <c r="AY56" s="246" t="s">
        <v>674</v>
      </c>
    </row>
    <row r="57" spans="1:51" ht="12.75">
      <c r="A57" s="84" t="s">
        <v>237</v>
      </c>
      <c r="B57" s="44"/>
      <c r="C57" s="44"/>
      <c r="D57" s="44"/>
      <c r="E57" s="44"/>
      <c r="F57" s="44"/>
      <c r="G57" s="44"/>
      <c r="H57" s="44"/>
      <c r="I57" s="44"/>
      <c r="J57" s="76"/>
      <c r="N57" s="115" t="s">
        <v>167</v>
      </c>
      <c r="O57" s="1">
        <f>$O$34/$O$50+$O$54/$O$55</f>
        <v>0.3969644361358516</v>
      </c>
      <c r="P57" s="78"/>
      <c r="Q57" s="78" t="s">
        <v>168</v>
      </c>
      <c r="AH57" s="243" t="s">
        <v>353</v>
      </c>
      <c r="AI57" s="244">
        <v>105</v>
      </c>
      <c r="AJ57" s="244">
        <v>37.4</v>
      </c>
      <c r="AK57" s="244">
        <v>1.12</v>
      </c>
      <c r="AL57" s="244">
        <v>16.7</v>
      </c>
      <c r="AM57" s="244">
        <v>2.01</v>
      </c>
      <c r="AN57" s="244">
        <v>2.96</v>
      </c>
      <c r="AO57" s="245">
        <v>4.42</v>
      </c>
      <c r="AP57" s="245">
        <v>1.11</v>
      </c>
      <c r="AQ57" s="244">
        <v>24800</v>
      </c>
      <c r="AR57" s="244">
        <v>1320</v>
      </c>
      <c r="AS57" s="244">
        <v>15.3</v>
      </c>
      <c r="AT57" s="244">
        <v>1570</v>
      </c>
      <c r="AU57" s="244">
        <v>188</v>
      </c>
      <c r="AV57" s="244">
        <v>3.86</v>
      </c>
      <c r="AW57" s="244">
        <v>108</v>
      </c>
      <c r="AX57" s="244">
        <v>492000</v>
      </c>
      <c r="AY57" s="246" t="s">
        <v>675</v>
      </c>
    </row>
    <row r="58" spans="1:51" ht="12.75">
      <c r="A58" s="85" t="s">
        <v>192</v>
      </c>
      <c r="B58" s="15">
        <f>$O$52</f>
        <v>2.10538774862463</v>
      </c>
      <c r="C58" s="96" t="s">
        <v>9</v>
      </c>
      <c r="D58" s="120" t="str">
        <f>$Q$52</f>
        <v>fby = My/Sy</v>
      </c>
      <c r="E58" s="44"/>
      <c r="F58" s="44"/>
      <c r="G58" s="44"/>
      <c r="H58" s="44"/>
      <c r="I58" s="44"/>
      <c r="J58" s="76"/>
      <c r="N58" s="143" t="s">
        <v>171</v>
      </c>
      <c r="AH58" s="243" t="s">
        <v>354</v>
      </c>
      <c r="AI58" s="244">
        <v>96.4</v>
      </c>
      <c r="AJ58" s="244">
        <v>37.1</v>
      </c>
      <c r="AK58" s="244">
        <v>1.02</v>
      </c>
      <c r="AL58" s="244">
        <v>16.6</v>
      </c>
      <c r="AM58" s="244">
        <v>1.85</v>
      </c>
      <c r="AN58" s="244">
        <v>2.8</v>
      </c>
      <c r="AO58" s="245">
        <v>4.39</v>
      </c>
      <c r="AP58" s="245">
        <v>1.21</v>
      </c>
      <c r="AQ58" s="244">
        <v>22500</v>
      </c>
      <c r="AR58" s="244">
        <v>1210</v>
      </c>
      <c r="AS58" s="244">
        <v>15.3</v>
      </c>
      <c r="AT58" s="244">
        <v>1420</v>
      </c>
      <c r="AU58" s="244">
        <v>171</v>
      </c>
      <c r="AV58" s="244">
        <v>3.84</v>
      </c>
      <c r="AW58" s="244">
        <v>84.1</v>
      </c>
      <c r="AX58" s="244">
        <v>441000</v>
      </c>
      <c r="AY58" s="246" t="s">
        <v>644</v>
      </c>
    </row>
    <row r="59" spans="1:51" ht="12.75">
      <c r="A59" s="85" t="s">
        <v>194</v>
      </c>
      <c r="B59" s="17">
        <f>$O$53</f>
        <v>1.163312213357958</v>
      </c>
      <c r="C59" s="96" t="s">
        <v>9</v>
      </c>
      <c r="D59" s="120" t="str">
        <f>$Q$53</f>
        <v>fwns = Mt*12/(Sy/2) (warping normal stress)</v>
      </c>
      <c r="E59" s="44"/>
      <c r="F59" s="44"/>
      <c r="G59" s="44"/>
      <c r="H59" s="44"/>
      <c r="I59" s="44"/>
      <c r="J59" s="76"/>
      <c r="N59" s="136" t="s">
        <v>132</v>
      </c>
      <c r="O59" s="73">
        <f>($C$19+$C$21+$C$20)</f>
        <v>6.5</v>
      </c>
      <c r="P59" s="155" t="s">
        <v>7</v>
      </c>
      <c r="Q59" s="111" t="s">
        <v>228</v>
      </c>
      <c r="AH59" s="243" t="s">
        <v>355</v>
      </c>
      <c r="AI59" s="244">
        <v>88.3</v>
      </c>
      <c r="AJ59" s="244">
        <v>36.7</v>
      </c>
      <c r="AK59" s="244">
        <v>0.945</v>
      </c>
      <c r="AL59" s="244">
        <v>16.7</v>
      </c>
      <c r="AM59" s="244">
        <v>1.68</v>
      </c>
      <c r="AN59" s="244">
        <v>2.63</v>
      </c>
      <c r="AO59" s="245">
        <v>4.39</v>
      </c>
      <c r="AP59" s="245">
        <v>1.31</v>
      </c>
      <c r="AQ59" s="244">
        <v>20300</v>
      </c>
      <c r="AR59" s="244">
        <v>1110</v>
      </c>
      <c r="AS59" s="244">
        <v>15.2</v>
      </c>
      <c r="AT59" s="244">
        <v>1300</v>
      </c>
      <c r="AU59" s="244">
        <v>156</v>
      </c>
      <c r="AV59" s="244">
        <v>3.83</v>
      </c>
      <c r="AW59" s="244">
        <v>64.2</v>
      </c>
      <c r="AX59" s="244">
        <v>399000</v>
      </c>
      <c r="AY59" s="246" t="s">
        <v>676</v>
      </c>
    </row>
    <row r="60" spans="1:51" ht="12.75">
      <c r="A60" s="85" t="s">
        <v>166</v>
      </c>
      <c r="B60" s="17">
        <f>$O$54</f>
        <v>3.2686999619825885</v>
      </c>
      <c r="C60" s="96" t="s">
        <v>9</v>
      </c>
      <c r="D60" s="120" t="str">
        <f>$Q$54</f>
        <v>fby(total) = fby+fwns</v>
      </c>
      <c r="E60" s="44"/>
      <c r="F60" s="44"/>
      <c r="G60" s="44"/>
      <c r="H60" s="44"/>
      <c r="I60" s="44"/>
      <c r="J60" s="76"/>
      <c r="N60" s="144" t="s">
        <v>138</v>
      </c>
      <c r="O60" s="303">
        <f>IF(AND($C$24=4,$C$25&lt;(2-SQRT(2))*$C$13),($O$59/2)*($C$13*12-$C$25*12)/2/(24*29000*$I$20)*(3*($C$13*12)^2-4*(($C$13*12-$C$25*12)/2)^2)+5*$O$4/12000*($C$13*12)^4/(384*29000*$I$20),IF(AND($C$24=4,$C$25&gt;=(2-SQRT(2))*$C$13),($O$59/2)*($C$13*12)^3/(48*29000*$I$20)+5*$O$4/12000*($C$13*12)^4/(384*29000*$I$20),IF($C$24=2,$O$59*($C$13*12)^3/(48*29000*$I$20)+5*$O$4/12000*($C$13*12)^4/(384*29000*$I$20))))</f>
        <v>0.10938319489152482</v>
      </c>
      <c r="P60" s="77" t="s">
        <v>8</v>
      </c>
      <c r="Q60" s="145" t="s">
        <v>138</v>
      </c>
      <c r="R60" s="301" t="str">
        <f>IF(AND($C$24=4,$C$25&lt;(2-SQRT(2))*$C$13),"(Pv/2)*(L-S)/2/(24*E*I)*(3*L^2-4*((L-S)/2)^2)+5*w/12000*L^4/(384*E*I)",IF(AND($C$24=4,$C$25&gt;=(2-SQRT(2))*$C$13),"(Pv/2)*L^3/(48*E*I)+5*w/12000*L^4/(384*E*I)",IF($C$24=2,"Pv*L^3/(48*E*I)+5*w/12000*L^4/(384*E*I)")))</f>
        <v>(Pv/2)*(L-S)/2/(24*E*I)*(3*L^2-4*((L-S)/2)^2)+5*w/12000*L^4/(384*E*I)</v>
      </c>
      <c r="S60" s="78"/>
      <c r="AH60" s="243" t="s">
        <v>356</v>
      </c>
      <c r="AI60" s="244">
        <v>82.4</v>
      </c>
      <c r="AJ60" s="244">
        <v>36.5</v>
      </c>
      <c r="AK60" s="244">
        <v>0.885</v>
      </c>
      <c r="AL60" s="244">
        <v>16.6</v>
      </c>
      <c r="AM60" s="244">
        <v>1.57</v>
      </c>
      <c r="AN60" s="244">
        <v>2.52</v>
      </c>
      <c r="AO60" s="245">
        <v>4.37</v>
      </c>
      <c r="AP60" s="245">
        <v>1.4</v>
      </c>
      <c r="AQ60" s="244">
        <v>18900</v>
      </c>
      <c r="AR60" s="244">
        <v>1030</v>
      </c>
      <c r="AS60" s="244">
        <v>15.1</v>
      </c>
      <c r="AT60" s="244">
        <v>1200</v>
      </c>
      <c r="AU60" s="244">
        <v>144</v>
      </c>
      <c r="AV60" s="244">
        <v>3.81</v>
      </c>
      <c r="AW60" s="244">
        <v>52.6</v>
      </c>
      <c r="AX60" s="244">
        <v>366000</v>
      </c>
      <c r="AY60" s="246" t="s">
        <v>677</v>
      </c>
    </row>
    <row r="61" spans="1:54" ht="12.75">
      <c r="A61" s="85" t="s">
        <v>106</v>
      </c>
      <c r="B61" s="16">
        <f>$O$55</f>
        <v>27</v>
      </c>
      <c r="C61" s="96" t="s">
        <v>9</v>
      </c>
      <c r="D61" s="141" t="str">
        <f>$Q$55</f>
        <v>Fby = 0.75*Fy</v>
      </c>
      <c r="E61" s="44"/>
      <c r="F61" s="44"/>
      <c r="G61" s="44"/>
      <c r="H61" s="44"/>
      <c r="I61" s="44"/>
      <c r="J61" s="206" t="str">
        <f>IF($B$60&lt;=$B$61,"fby &lt;= Fby,  O.K.  ","fby &gt; Fby  ")</f>
        <v>fby &lt;= Fby,  O.K.  </v>
      </c>
      <c r="N61" s="144" t="s">
        <v>139</v>
      </c>
      <c r="O61" s="71" t="str">
        <f>"L/"&amp;ROUND($C$13*12/ABS($O$60),0)</f>
        <v>L/1865</v>
      </c>
      <c r="Q61" s="145" t="s">
        <v>140</v>
      </c>
      <c r="AH61" s="243" t="s">
        <v>357</v>
      </c>
      <c r="AI61" s="244">
        <v>76.5</v>
      </c>
      <c r="AJ61" s="244">
        <v>36.3</v>
      </c>
      <c r="AK61" s="244">
        <v>0.84</v>
      </c>
      <c r="AL61" s="244">
        <v>16.6</v>
      </c>
      <c r="AM61" s="244">
        <v>1.44</v>
      </c>
      <c r="AN61" s="244">
        <v>2.39</v>
      </c>
      <c r="AO61" s="245">
        <v>4.34</v>
      </c>
      <c r="AP61" s="245">
        <v>1.52</v>
      </c>
      <c r="AQ61" s="244">
        <v>17300</v>
      </c>
      <c r="AR61" s="244">
        <v>953</v>
      </c>
      <c r="AS61" s="244">
        <v>15</v>
      </c>
      <c r="AT61" s="244">
        <v>1090</v>
      </c>
      <c r="AU61" s="244">
        <v>132</v>
      </c>
      <c r="AV61" s="244">
        <v>3.78</v>
      </c>
      <c r="AW61" s="244">
        <v>41.5</v>
      </c>
      <c r="AX61" s="244">
        <v>330000</v>
      </c>
      <c r="AY61" s="246" t="s">
        <v>678</v>
      </c>
      <c r="BA61" s="204" t="s">
        <v>225</v>
      </c>
      <c r="BB61" s="205">
        <f>$B$60/$B$61</f>
        <v>0.12106296155491068</v>
      </c>
    </row>
    <row r="62" spans="1:51" ht="12.75">
      <c r="A62" s="83"/>
      <c r="B62" s="44"/>
      <c r="C62" s="44"/>
      <c r="D62" s="44"/>
      <c r="E62" s="44"/>
      <c r="F62" s="44"/>
      <c r="G62" s="44"/>
      <c r="H62" s="44"/>
      <c r="I62" s="44"/>
      <c r="J62" s="76"/>
      <c r="N62" s="144" t="s">
        <v>210</v>
      </c>
      <c r="O62" s="142">
        <f>$C$13*12/450</f>
        <v>0.4533333333333333</v>
      </c>
      <c r="P62" s="77" t="s">
        <v>8</v>
      </c>
      <c r="Q62" s="145" t="s">
        <v>214</v>
      </c>
      <c r="AH62" s="243" t="s">
        <v>358</v>
      </c>
      <c r="AI62" s="244">
        <v>75.4</v>
      </c>
      <c r="AJ62" s="244">
        <v>37.4</v>
      </c>
      <c r="AK62" s="244">
        <v>0.96</v>
      </c>
      <c r="AL62" s="244">
        <v>12.2</v>
      </c>
      <c r="AM62" s="244">
        <v>1.73</v>
      </c>
      <c r="AN62" s="244">
        <v>2.48</v>
      </c>
      <c r="AO62" s="245">
        <v>3.14</v>
      </c>
      <c r="AP62" s="245">
        <v>1.77</v>
      </c>
      <c r="AQ62" s="244">
        <v>16800</v>
      </c>
      <c r="AR62" s="244">
        <v>895</v>
      </c>
      <c r="AS62" s="244">
        <v>14.9</v>
      </c>
      <c r="AT62" s="244">
        <v>528</v>
      </c>
      <c r="AU62" s="244">
        <v>86.5</v>
      </c>
      <c r="AV62" s="244">
        <v>2.65</v>
      </c>
      <c r="AW62" s="244">
        <v>52.9</v>
      </c>
      <c r="AX62" s="244">
        <v>168000</v>
      </c>
      <c r="AY62" s="246" t="s">
        <v>679</v>
      </c>
    </row>
    <row r="63" spans="1:51" ht="12.75">
      <c r="A63" s="84" t="s">
        <v>170</v>
      </c>
      <c r="B63" s="44"/>
      <c r="C63" s="44"/>
      <c r="D63" s="44"/>
      <c r="E63" s="44"/>
      <c r="F63" s="44"/>
      <c r="G63" s="44"/>
      <c r="H63" s="44"/>
      <c r="I63" s="44"/>
      <c r="J63" s="76"/>
      <c r="N63" s="108" t="s">
        <v>233</v>
      </c>
      <c r="AH63" s="243" t="s">
        <v>359</v>
      </c>
      <c r="AI63" s="244">
        <v>72.1</v>
      </c>
      <c r="AJ63" s="244">
        <v>36.1</v>
      </c>
      <c r="AK63" s="244">
        <v>0.8</v>
      </c>
      <c r="AL63" s="244">
        <v>16.5</v>
      </c>
      <c r="AM63" s="244">
        <v>1.35</v>
      </c>
      <c r="AN63" s="244">
        <v>2.3</v>
      </c>
      <c r="AO63" s="245">
        <v>4.32</v>
      </c>
      <c r="AP63" s="245">
        <v>1.62</v>
      </c>
      <c r="AQ63" s="244">
        <v>16100</v>
      </c>
      <c r="AR63" s="244">
        <v>895</v>
      </c>
      <c r="AS63" s="244">
        <v>15</v>
      </c>
      <c r="AT63" s="244">
        <v>1010</v>
      </c>
      <c r="AU63" s="244">
        <v>123</v>
      </c>
      <c r="AV63" s="244">
        <v>3.75</v>
      </c>
      <c r="AW63" s="244">
        <v>34.6</v>
      </c>
      <c r="AX63" s="244">
        <v>305000</v>
      </c>
      <c r="AY63" s="246" t="s">
        <v>680</v>
      </c>
    </row>
    <row r="64" spans="1:54" ht="12.75">
      <c r="A64" s="85" t="s">
        <v>167</v>
      </c>
      <c r="B64" s="164">
        <f>$O$57</f>
        <v>0.3969644361358516</v>
      </c>
      <c r="C64" s="44"/>
      <c r="D64" s="141" t="str">
        <f>$Q$57</f>
        <v>S.R. = fbx/Fbx+fby(total)/Fby</v>
      </c>
      <c r="E64" s="44"/>
      <c r="F64" s="44"/>
      <c r="G64" s="44"/>
      <c r="H64" s="44"/>
      <c r="I64" s="44"/>
      <c r="J64" s="206" t="str">
        <f>IF($B$64&lt;=1,"S.R. &lt;= 1.0,  O.K.  ","S.R. &gt; 1.0  ")</f>
        <v>S.R. &lt;= 1.0,  O.K.  </v>
      </c>
      <c r="N64" s="136" t="s">
        <v>22</v>
      </c>
      <c r="O64" s="74">
        <f>IF($C$16&gt;0,IF($C$24=4,($B$31/2)*($C$16+($C$16-$C$25))+$O$4/1000*$C$16^2/2,IF($C$24=2,$B$31*$C$16+$O$4/1000*$C$16^2/2)),"N.A.")</f>
        <v>19.65</v>
      </c>
      <c r="P64" s="155" t="s">
        <v>24</v>
      </c>
      <c r="Q64" s="140" t="str">
        <f>IF($C$24=4,"Mx = (Pv/2)*(Lo+(Lo-S))+w/1000*Lo^2/2",IF($C$24=2,"Mx = Pv*Lo+w/1000*Lo^2/2"))</f>
        <v>Mx = (Pv/2)*(Lo+(Lo-S))+w/1000*Lo^2/2</v>
      </c>
      <c r="AH64" s="243" t="s">
        <v>360</v>
      </c>
      <c r="AI64" s="244">
        <v>68.1</v>
      </c>
      <c r="AJ64" s="244">
        <v>37.1</v>
      </c>
      <c r="AK64" s="244">
        <v>0.87</v>
      </c>
      <c r="AL64" s="244">
        <v>12.1</v>
      </c>
      <c r="AM64" s="244">
        <v>1.57</v>
      </c>
      <c r="AN64" s="244">
        <v>2.32</v>
      </c>
      <c r="AO64" s="245">
        <v>3.11</v>
      </c>
      <c r="AP64" s="245">
        <v>1.95</v>
      </c>
      <c r="AQ64" s="244">
        <v>15000</v>
      </c>
      <c r="AR64" s="244">
        <v>809</v>
      </c>
      <c r="AS64" s="244">
        <v>14.8</v>
      </c>
      <c r="AT64" s="244">
        <v>468</v>
      </c>
      <c r="AU64" s="244">
        <v>77.2</v>
      </c>
      <c r="AV64" s="244">
        <v>2.62</v>
      </c>
      <c r="AW64" s="244">
        <v>39.6</v>
      </c>
      <c r="AX64" s="244">
        <v>148000</v>
      </c>
      <c r="AY64" s="246" t="s">
        <v>681</v>
      </c>
      <c r="BA64" s="204" t="s">
        <v>225</v>
      </c>
      <c r="BB64" s="205">
        <f>$B$64</f>
        <v>0.3969644361358516</v>
      </c>
    </row>
    <row r="65" spans="1:51" ht="12.75">
      <c r="A65" s="83"/>
      <c r="B65" s="44"/>
      <c r="C65" s="44"/>
      <c r="D65" s="44"/>
      <c r="E65" s="44"/>
      <c r="F65" s="44"/>
      <c r="G65" s="44"/>
      <c r="H65" s="44"/>
      <c r="I65" s="44"/>
      <c r="J65" s="76"/>
      <c r="N65" s="136" t="s">
        <v>23</v>
      </c>
      <c r="O65" s="74">
        <f>IF($C$16&gt;0,IF($C$24=4,($B$33/2)*($C$16+($C$16-$C$25)),IF($C$24=2,$B$33*$C$16)),"N.A.")</f>
        <v>1.5750000000000002</v>
      </c>
      <c r="P65" s="155" t="s">
        <v>24</v>
      </c>
      <c r="Q65" s="140" t="str">
        <f>IF($C$24=4,"My = (Ph/2)*(Lo+(Lo-S))",IF($C$24=2,"My = Ph*Lo"))</f>
        <v>My = (Ph/2)*(Lo+(Lo-S))</v>
      </c>
      <c r="AH65" s="243" t="s">
        <v>361</v>
      </c>
      <c r="AI65" s="244">
        <v>67.6</v>
      </c>
      <c r="AJ65" s="244">
        <v>35.9</v>
      </c>
      <c r="AK65" s="244">
        <v>0.76</v>
      </c>
      <c r="AL65" s="244">
        <v>16.5</v>
      </c>
      <c r="AM65" s="244">
        <v>1.26</v>
      </c>
      <c r="AN65" s="244">
        <v>2.21</v>
      </c>
      <c r="AO65" s="245">
        <v>4.3</v>
      </c>
      <c r="AP65" s="245">
        <v>1.73</v>
      </c>
      <c r="AQ65" s="244">
        <v>15000</v>
      </c>
      <c r="AR65" s="244">
        <v>837</v>
      </c>
      <c r="AS65" s="244">
        <v>14.9</v>
      </c>
      <c r="AT65" s="244">
        <v>940</v>
      </c>
      <c r="AU65" s="244">
        <v>114</v>
      </c>
      <c r="AV65" s="244">
        <v>3.73</v>
      </c>
      <c r="AW65" s="244">
        <v>28.6</v>
      </c>
      <c r="AX65" s="244">
        <v>282000</v>
      </c>
      <c r="AY65" s="246" t="s">
        <v>628</v>
      </c>
    </row>
    <row r="66" spans="1:51" ht="12.75">
      <c r="A66" s="84" t="s">
        <v>171</v>
      </c>
      <c r="B66" s="44"/>
      <c r="C66" s="44"/>
      <c r="D66" s="44"/>
      <c r="E66" s="44"/>
      <c r="F66" s="44"/>
      <c r="G66" s="44"/>
      <c r="H66" s="44"/>
      <c r="I66" s="44"/>
      <c r="J66" s="76"/>
      <c r="N66" s="153" t="s">
        <v>177</v>
      </c>
      <c r="T66" s="111" t="s">
        <v>933</v>
      </c>
      <c r="AH66" s="243" t="s">
        <v>362</v>
      </c>
      <c r="AI66" s="244">
        <v>61.8</v>
      </c>
      <c r="AJ66" s="244">
        <v>36.7</v>
      </c>
      <c r="AK66" s="244">
        <v>0.83</v>
      </c>
      <c r="AL66" s="244">
        <v>12.2</v>
      </c>
      <c r="AM66" s="244">
        <v>1.36</v>
      </c>
      <c r="AN66" s="244">
        <v>2.11</v>
      </c>
      <c r="AO66" s="245">
        <v>3.09</v>
      </c>
      <c r="AP66" s="245">
        <v>2.21</v>
      </c>
      <c r="AQ66" s="244">
        <v>13200</v>
      </c>
      <c r="AR66" s="244">
        <v>719</v>
      </c>
      <c r="AS66" s="244">
        <v>14.6</v>
      </c>
      <c r="AT66" s="244">
        <v>411</v>
      </c>
      <c r="AU66" s="244">
        <v>67.5</v>
      </c>
      <c r="AV66" s="244">
        <v>2.58</v>
      </c>
      <c r="AW66" s="244">
        <v>28</v>
      </c>
      <c r="AX66" s="244">
        <v>128000</v>
      </c>
      <c r="AY66" s="246" t="s">
        <v>682</v>
      </c>
    </row>
    <row r="67" spans="1:51" ht="12.75">
      <c r="A67" s="85" t="s">
        <v>132</v>
      </c>
      <c r="B67" s="26">
        <f>$O$59</f>
        <v>6.5</v>
      </c>
      <c r="C67" s="96" t="s">
        <v>7</v>
      </c>
      <c r="D67" s="44" t="str">
        <f>$Q$59</f>
        <v>Pv = P+Wh+Wt (without vertical impact)</v>
      </c>
      <c r="E67" s="44"/>
      <c r="F67" s="44"/>
      <c r="G67" s="44"/>
      <c r="H67" s="44"/>
      <c r="I67" s="44"/>
      <c r="J67" s="76"/>
      <c r="N67" s="115" t="s">
        <v>158</v>
      </c>
      <c r="O67" s="1">
        <f>IF($C$16&gt;0,$F$20/2,"N.A.")</f>
        <v>6.1</v>
      </c>
      <c r="P67" s="155" t="s">
        <v>8</v>
      </c>
      <c r="Q67" s="78" t="s">
        <v>165</v>
      </c>
      <c r="R67" s="78"/>
      <c r="AH67" s="243" t="s">
        <v>363</v>
      </c>
      <c r="AI67" s="244">
        <v>57</v>
      </c>
      <c r="AJ67" s="244">
        <v>36.5</v>
      </c>
      <c r="AK67" s="244">
        <v>0.765</v>
      </c>
      <c r="AL67" s="244">
        <v>12.1</v>
      </c>
      <c r="AM67" s="244">
        <v>1.26</v>
      </c>
      <c r="AN67" s="244">
        <v>2.01</v>
      </c>
      <c r="AO67" s="245">
        <v>3.07</v>
      </c>
      <c r="AP67" s="245">
        <v>2.39</v>
      </c>
      <c r="AQ67" s="244">
        <v>12100</v>
      </c>
      <c r="AR67" s="244">
        <v>664</v>
      </c>
      <c r="AS67" s="244">
        <v>14.6</v>
      </c>
      <c r="AT67" s="244">
        <v>375</v>
      </c>
      <c r="AU67" s="244">
        <v>61.9</v>
      </c>
      <c r="AV67" s="244">
        <v>2.56</v>
      </c>
      <c r="AW67" s="244">
        <v>22.2</v>
      </c>
      <c r="AX67" s="244">
        <v>116000</v>
      </c>
      <c r="AY67" s="246" t="s">
        <v>683</v>
      </c>
    </row>
    <row r="68" spans="1:51" ht="12.75">
      <c r="A68" s="86" t="s">
        <v>137</v>
      </c>
      <c r="B68" s="211">
        <f>$O$60</f>
        <v>0.10938319489152482</v>
      </c>
      <c r="C68" s="104" t="s">
        <v>8</v>
      </c>
      <c r="D68" s="97" t="s">
        <v>137</v>
      </c>
      <c r="E68" s="185" t="str">
        <f>$R$60</f>
        <v>(Pv/2)*(L-S)/2/(24*E*I)*(3*L^2-4*((L-S)/2)^2)+5*w/12000*L^4/(384*E*I)</v>
      </c>
      <c r="F68" s="44"/>
      <c r="G68" s="44"/>
      <c r="H68" s="44"/>
      <c r="I68" s="44"/>
      <c r="J68" s="76"/>
      <c r="N68" s="115" t="s">
        <v>160</v>
      </c>
      <c r="O68" s="1">
        <f>IF($C$16&gt;0,SQRT(29000*$I$25/($I$24*11200)),"N.A.")</f>
        <v>53.35447575922932</v>
      </c>
      <c r="Q68" s="78" t="s">
        <v>161</v>
      </c>
      <c r="R68" s="78"/>
      <c r="AH68" s="243" t="s">
        <v>364</v>
      </c>
      <c r="AI68" s="244">
        <v>53.6</v>
      </c>
      <c r="AJ68" s="244">
        <v>36.3</v>
      </c>
      <c r="AK68" s="244">
        <v>0.725</v>
      </c>
      <c r="AL68" s="244">
        <v>12.1</v>
      </c>
      <c r="AM68" s="244">
        <v>1.18</v>
      </c>
      <c r="AN68" s="244">
        <v>1.93</v>
      </c>
      <c r="AO68" s="245">
        <v>3.05</v>
      </c>
      <c r="AP68" s="245">
        <v>2.55</v>
      </c>
      <c r="AQ68" s="244">
        <v>11300</v>
      </c>
      <c r="AR68" s="244">
        <v>623</v>
      </c>
      <c r="AS68" s="244">
        <v>14.5</v>
      </c>
      <c r="AT68" s="244">
        <v>347</v>
      </c>
      <c r="AU68" s="244">
        <v>57.6</v>
      </c>
      <c r="AV68" s="244">
        <v>2.55</v>
      </c>
      <c r="AW68" s="244">
        <v>18.5</v>
      </c>
      <c r="AX68" s="244">
        <v>107000</v>
      </c>
      <c r="AY68" s="246" t="s">
        <v>684</v>
      </c>
    </row>
    <row r="69" spans="1:51" ht="12.75">
      <c r="A69" s="146" t="s">
        <v>141</v>
      </c>
      <c r="B69" s="174" t="str">
        <f>$O$61</f>
        <v>L/1865</v>
      </c>
      <c r="C69" s="44"/>
      <c r="D69" s="147" t="s">
        <v>142</v>
      </c>
      <c r="E69" s="44"/>
      <c r="F69" s="44"/>
      <c r="G69" s="44"/>
      <c r="H69" s="44"/>
      <c r="I69" s="44"/>
      <c r="J69" s="76"/>
      <c r="M69" s="75"/>
      <c r="N69" s="115" t="s">
        <v>159</v>
      </c>
      <c r="O69" s="75">
        <f>IF($C$16&gt;0,$B$33*$O$30*$O$31/($F$20-$F$23)*TANH($C$16*12/$O$31)/12,"N.A.")</f>
        <v>0.8278515305597728</v>
      </c>
      <c r="P69" s="155" t="s">
        <v>24</v>
      </c>
      <c r="Q69" s="78" t="s">
        <v>179</v>
      </c>
      <c r="R69" s="78"/>
      <c r="AH69" s="243" t="s">
        <v>365</v>
      </c>
      <c r="AI69" s="244">
        <v>50.1</v>
      </c>
      <c r="AJ69" s="244">
        <v>36.2</v>
      </c>
      <c r="AK69" s="244">
        <v>0.68</v>
      </c>
      <c r="AL69" s="244">
        <v>12</v>
      </c>
      <c r="AM69" s="244">
        <v>1.1</v>
      </c>
      <c r="AN69" s="244">
        <v>1.85</v>
      </c>
      <c r="AO69" s="245">
        <v>3.04</v>
      </c>
      <c r="AP69" s="245">
        <v>2.73</v>
      </c>
      <c r="AQ69" s="244">
        <v>10500</v>
      </c>
      <c r="AR69" s="244">
        <v>581</v>
      </c>
      <c r="AS69" s="244">
        <v>14.5</v>
      </c>
      <c r="AT69" s="244">
        <v>320</v>
      </c>
      <c r="AU69" s="244">
        <v>53.2</v>
      </c>
      <c r="AV69" s="244">
        <v>2.53</v>
      </c>
      <c r="AW69" s="244">
        <v>15.1</v>
      </c>
      <c r="AX69" s="244">
        <v>98400</v>
      </c>
      <c r="AY69" s="246" t="s">
        <v>685</v>
      </c>
    </row>
    <row r="70" spans="1:54" ht="12.75">
      <c r="A70" s="146" t="s">
        <v>215</v>
      </c>
      <c r="B70" s="190">
        <f>$O$62</f>
        <v>0.4533333333333333</v>
      </c>
      <c r="C70" s="104" t="s">
        <v>8</v>
      </c>
      <c r="D70" s="147" t="s">
        <v>216</v>
      </c>
      <c r="E70" s="44"/>
      <c r="F70" s="44"/>
      <c r="G70" s="44"/>
      <c r="H70" s="202"/>
      <c r="I70" s="44"/>
      <c r="J70" s="206" t="str">
        <f>IF($B$68&lt;=$B$70,"Defl.(max) &lt;= Defl.(allow),  O.K.  ","Defl.(max) &gt; Defl.(allow)  ")</f>
        <v>Defl.(max) &lt;= Defl.(allow),  O.K.  </v>
      </c>
      <c r="N70" s="108" t="s">
        <v>238</v>
      </c>
      <c r="AH70" s="243" t="s">
        <v>366</v>
      </c>
      <c r="AI70" s="244">
        <v>47</v>
      </c>
      <c r="AJ70" s="244">
        <v>36</v>
      </c>
      <c r="AK70" s="244">
        <v>0.65</v>
      </c>
      <c r="AL70" s="244">
        <v>12</v>
      </c>
      <c r="AM70" s="244">
        <v>1.02</v>
      </c>
      <c r="AN70" s="244">
        <v>1.77</v>
      </c>
      <c r="AO70" s="245">
        <v>3.02</v>
      </c>
      <c r="AP70" s="245">
        <v>2.94</v>
      </c>
      <c r="AQ70" s="244">
        <v>9760</v>
      </c>
      <c r="AR70" s="244">
        <v>542</v>
      </c>
      <c r="AS70" s="244">
        <v>14.4</v>
      </c>
      <c r="AT70" s="244">
        <v>295</v>
      </c>
      <c r="AU70" s="244">
        <v>49.1</v>
      </c>
      <c r="AV70" s="244">
        <v>2.5</v>
      </c>
      <c r="AW70" s="244">
        <v>12.4</v>
      </c>
      <c r="AX70" s="244">
        <v>90300</v>
      </c>
      <c r="AY70" s="246" t="s">
        <v>686</v>
      </c>
      <c r="BA70" s="204" t="s">
        <v>225</v>
      </c>
      <c r="BB70" s="205">
        <f>$B$68/$B$70</f>
        <v>0.24128645931954004</v>
      </c>
    </row>
    <row r="71" spans="1:51" ht="12.75">
      <c r="A71" s="83"/>
      <c r="B71" s="44"/>
      <c r="C71" s="44"/>
      <c r="D71" s="202"/>
      <c r="E71" s="104" t="s">
        <v>992</v>
      </c>
      <c r="F71" s="44"/>
      <c r="G71" s="44"/>
      <c r="H71" s="44"/>
      <c r="I71" s="44"/>
      <c r="J71" s="76"/>
      <c r="N71" s="115" t="s">
        <v>25</v>
      </c>
      <c r="O71" s="75">
        <f>IF($C$16&gt;0,$O$64*12/$I$21,"N.A.")</f>
        <v>3.672897196261682</v>
      </c>
      <c r="P71" s="156" t="s">
        <v>9</v>
      </c>
      <c r="Q71" s="123" t="s">
        <v>129</v>
      </c>
      <c r="U71" s="1"/>
      <c r="AH71" s="243" t="s">
        <v>367</v>
      </c>
      <c r="AI71" s="244">
        <v>44.2</v>
      </c>
      <c r="AJ71" s="244">
        <v>35.9</v>
      </c>
      <c r="AK71" s="244">
        <v>0.625</v>
      </c>
      <c r="AL71" s="244">
        <v>12</v>
      </c>
      <c r="AM71" s="244">
        <v>0.94</v>
      </c>
      <c r="AN71" s="244">
        <v>1.69</v>
      </c>
      <c r="AO71" s="245">
        <v>2.99</v>
      </c>
      <c r="AP71" s="245">
        <v>3.18</v>
      </c>
      <c r="AQ71" s="244">
        <v>9040</v>
      </c>
      <c r="AR71" s="244">
        <v>504</v>
      </c>
      <c r="AS71" s="244">
        <v>14.3</v>
      </c>
      <c r="AT71" s="244">
        <v>270</v>
      </c>
      <c r="AU71" s="244">
        <v>45.1</v>
      </c>
      <c r="AV71" s="244">
        <v>2.47</v>
      </c>
      <c r="AW71" s="244">
        <v>10.1</v>
      </c>
      <c r="AX71" s="244">
        <v>82300</v>
      </c>
      <c r="AY71" s="246" t="s">
        <v>687</v>
      </c>
    </row>
    <row r="72" spans="1:51" ht="12.75">
      <c r="A72" s="84" t="s">
        <v>233</v>
      </c>
      <c r="B72" s="44"/>
      <c r="C72" s="44"/>
      <c r="D72" s="44"/>
      <c r="E72" s="44"/>
      <c r="F72" s="44"/>
      <c r="G72" s="44"/>
      <c r="H72" s="44"/>
      <c r="I72" s="44"/>
      <c r="J72" s="76"/>
      <c r="N72" s="113" t="s">
        <v>102</v>
      </c>
      <c r="O72" s="79">
        <f>IF($C$16&gt;0,MIN((76*$F$22/SQRT($C$12))/12,(20000/($I$19*$C$12))/12),"N.A.")</f>
        <v>8.52888888888889</v>
      </c>
      <c r="P72" s="156" t="s">
        <v>90</v>
      </c>
      <c r="Q72" s="123" t="s">
        <v>163</v>
      </c>
      <c r="R72" s="78"/>
      <c r="U72" s="1"/>
      <c r="AH72" s="243" t="s">
        <v>368</v>
      </c>
      <c r="AI72" s="244">
        <v>39.7</v>
      </c>
      <c r="AJ72" s="244">
        <v>35.6</v>
      </c>
      <c r="AK72" s="244">
        <v>0.6</v>
      </c>
      <c r="AL72" s="244">
        <v>12</v>
      </c>
      <c r="AM72" s="244">
        <v>0.79</v>
      </c>
      <c r="AN72" s="244">
        <v>1.54</v>
      </c>
      <c r="AO72" s="245">
        <v>2.93</v>
      </c>
      <c r="AP72" s="245">
        <v>3.77</v>
      </c>
      <c r="AQ72" s="244">
        <v>7800</v>
      </c>
      <c r="AR72" s="244">
        <v>439</v>
      </c>
      <c r="AS72" s="244">
        <v>14</v>
      </c>
      <c r="AT72" s="244">
        <v>225</v>
      </c>
      <c r="AU72" s="244">
        <v>37.7</v>
      </c>
      <c r="AV72" s="244">
        <v>2.38</v>
      </c>
      <c r="AW72" s="244">
        <v>7</v>
      </c>
      <c r="AX72" s="244">
        <v>68000</v>
      </c>
      <c r="AY72" s="246" t="s">
        <v>688</v>
      </c>
    </row>
    <row r="73" spans="1:51" ht="12.75">
      <c r="A73" s="85" t="s">
        <v>22</v>
      </c>
      <c r="B73" s="15">
        <f>$O$64</f>
        <v>19.65</v>
      </c>
      <c r="C73" s="96" t="s">
        <v>24</v>
      </c>
      <c r="D73" s="48" t="str">
        <f>$Q$64</f>
        <v>Mx = (Pv/2)*(Lo+(Lo-S))+w/1000*Lo^2/2</v>
      </c>
      <c r="E73" s="44"/>
      <c r="F73" s="44"/>
      <c r="G73" s="44"/>
      <c r="H73" s="44"/>
      <c r="I73" s="44"/>
      <c r="J73" s="76"/>
      <c r="N73" s="113" t="s">
        <v>103</v>
      </c>
      <c r="O73" s="79">
        <f>IF($C$16&gt;0,MAX((20000/($I$19*$C$12))/12,(SQRT(102000/$C$12)*$F$25)/12),"N.A.")</f>
        <v>19.617074701820467</v>
      </c>
      <c r="P73" s="156" t="s">
        <v>90</v>
      </c>
      <c r="Q73" s="119" t="s">
        <v>164</v>
      </c>
      <c r="R73" s="78"/>
      <c r="S73" s="78"/>
      <c r="T73" s="78"/>
      <c r="U73" s="1"/>
      <c r="AH73" s="243" t="s">
        <v>369</v>
      </c>
      <c r="AI73" s="245">
        <v>181</v>
      </c>
      <c r="AJ73" s="245">
        <v>38.47</v>
      </c>
      <c r="AK73" s="245">
        <v>1.97</v>
      </c>
      <c r="AL73" s="245">
        <v>16.91</v>
      </c>
      <c r="AM73" s="245">
        <v>3.54</v>
      </c>
      <c r="AN73" s="245">
        <v>4.375</v>
      </c>
      <c r="AO73" s="245">
        <v>4.51</v>
      </c>
      <c r="AP73" s="245">
        <v>0.64</v>
      </c>
      <c r="AQ73" s="245">
        <v>41800</v>
      </c>
      <c r="AR73" s="245">
        <v>2170</v>
      </c>
      <c r="AS73" s="245">
        <v>15.2</v>
      </c>
      <c r="AT73" s="245">
        <v>2870</v>
      </c>
      <c r="AU73" s="245">
        <v>340</v>
      </c>
      <c r="AV73" s="245">
        <v>3.98</v>
      </c>
      <c r="AW73" s="245">
        <v>567</v>
      </c>
      <c r="AX73" s="245">
        <v>870000</v>
      </c>
      <c r="AY73" s="246" t="s">
        <v>689</v>
      </c>
    </row>
    <row r="74" spans="1:51" ht="12.75">
      <c r="A74" s="85" t="s">
        <v>23</v>
      </c>
      <c r="B74" s="16">
        <f>$O$65</f>
        <v>1.5750000000000002</v>
      </c>
      <c r="C74" s="96" t="s">
        <v>24</v>
      </c>
      <c r="D74" s="120" t="str">
        <f>$Q$65</f>
        <v>My = (Ph/2)*(Lo+(Lo-S))</v>
      </c>
      <c r="E74" s="44"/>
      <c r="F74" s="44"/>
      <c r="G74" s="44"/>
      <c r="H74" s="44"/>
      <c r="I74" s="44"/>
      <c r="J74" s="76"/>
      <c r="N74" s="113" t="s">
        <v>180</v>
      </c>
      <c r="O74" s="79">
        <f>IF($C$16&gt;0,IF($C$17&lt;=1,1*12/$F$25,$C$17*12/$F$25),"N.A.")</f>
        <v>63.594470046082954</v>
      </c>
      <c r="P74" s="77"/>
      <c r="Q74" s="78" t="s">
        <v>181</v>
      </c>
      <c r="S74" s="78"/>
      <c r="T74" s="78"/>
      <c r="U74" s="1"/>
      <c r="AH74" s="243" t="s">
        <v>370</v>
      </c>
      <c r="AI74" s="245">
        <v>166</v>
      </c>
      <c r="AJ74" s="245">
        <v>37.91</v>
      </c>
      <c r="AK74" s="245">
        <v>1.81</v>
      </c>
      <c r="AL74" s="245">
        <v>16.75</v>
      </c>
      <c r="AM74" s="245">
        <v>3.27</v>
      </c>
      <c r="AN74" s="245">
        <v>4.0625</v>
      </c>
      <c r="AO74" s="245">
        <v>4.46</v>
      </c>
      <c r="AP74" s="245">
        <v>0.69</v>
      </c>
      <c r="AQ74" s="245">
        <v>37700</v>
      </c>
      <c r="AR74" s="245">
        <v>1990</v>
      </c>
      <c r="AS74" s="245">
        <v>15.1</v>
      </c>
      <c r="AT74" s="245">
        <v>2580</v>
      </c>
      <c r="AU74" s="245">
        <v>308</v>
      </c>
      <c r="AV74" s="245">
        <v>3.94</v>
      </c>
      <c r="AW74" s="245">
        <v>444</v>
      </c>
      <c r="AX74" s="245">
        <v>768000</v>
      </c>
      <c r="AY74" s="246" t="s">
        <v>690</v>
      </c>
    </row>
    <row r="75" spans="1:51" ht="12.75">
      <c r="A75" s="83"/>
      <c r="B75" s="44"/>
      <c r="C75" s="44"/>
      <c r="D75" s="44"/>
      <c r="E75" s="44"/>
      <c r="F75" s="44"/>
      <c r="G75" s="44"/>
      <c r="H75" s="44"/>
      <c r="I75" s="44"/>
      <c r="J75" s="76"/>
      <c r="N75" s="115" t="s">
        <v>105</v>
      </c>
      <c r="O75" s="1">
        <f>IF($C$16&gt;0,0,"N.A.")</f>
        <v>0</v>
      </c>
      <c r="P75" s="77"/>
      <c r="Q75" s="290" t="s">
        <v>937</v>
      </c>
      <c r="R75" s="78"/>
      <c r="S75" s="78"/>
      <c r="T75" s="78"/>
      <c r="U75" s="1"/>
      <c r="AH75" s="243" t="s">
        <v>371</v>
      </c>
      <c r="AI75" s="245">
        <v>151</v>
      </c>
      <c r="AJ75" s="245">
        <v>37.36</v>
      </c>
      <c r="AK75" s="245">
        <v>1.65</v>
      </c>
      <c r="AL75" s="245">
        <v>16.59</v>
      </c>
      <c r="AM75" s="245">
        <v>2.99</v>
      </c>
      <c r="AN75" s="245">
        <v>3.8125</v>
      </c>
      <c r="AO75" s="245">
        <v>4.42</v>
      </c>
      <c r="AP75" s="245">
        <v>0.75</v>
      </c>
      <c r="AQ75" s="245">
        <v>33700</v>
      </c>
      <c r="AR75" s="245">
        <v>1810</v>
      </c>
      <c r="AS75" s="245">
        <v>14.9</v>
      </c>
      <c r="AT75" s="245">
        <v>2290</v>
      </c>
      <c r="AU75" s="245">
        <v>276</v>
      </c>
      <c r="AV75" s="245">
        <v>3.89</v>
      </c>
      <c r="AW75" s="245">
        <v>338</v>
      </c>
      <c r="AX75" s="245">
        <v>672000</v>
      </c>
      <c r="AY75" s="246" t="s">
        <v>691</v>
      </c>
    </row>
    <row r="76" spans="1:51" ht="12.75">
      <c r="A76" s="158" t="s">
        <v>177</v>
      </c>
      <c r="B76" s="44"/>
      <c r="C76" s="44"/>
      <c r="D76" s="44"/>
      <c r="E76" s="44"/>
      <c r="F76" s="44"/>
      <c r="G76" s="210" t="s">
        <v>933</v>
      </c>
      <c r="H76" s="44"/>
      <c r="I76" s="44"/>
      <c r="J76" s="76"/>
      <c r="N76" s="115" t="s">
        <v>929</v>
      </c>
      <c r="O76" s="72" t="str">
        <f>IF($C$16&gt;0,IF($C$17&lt;=$O$72,"Yes","No"),"N.A.")</f>
        <v>No</v>
      </c>
      <c r="P76" s="156"/>
      <c r="R76" s="78"/>
      <c r="S76" s="78"/>
      <c r="T76" s="78"/>
      <c r="U76" s="1"/>
      <c r="AH76" s="243" t="s">
        <v>372</v>
      </c>
      <c r="AI76" s="245">
        <v>137</v>
      </c>
      <c r="AJ76" s="245">
        <v>36.81</v>
      </c>
      <c r="AK76" s="245">
        <v>1.52</v>
      </c>
      <c r="AL76" s="247">
        <v>16.455</v>
      </c>
      <c r="AM76" s="245">
        <v>2.72</v>
      </c>
      <c r="AN76" s="245">
        <v>3.5</v>
      </c>
      <c r="AO76" s="245">
        <v>4.37</v>
      </c>
      <c r="AP76" s="245">
        <v>0.82</v>
      </c>
      <c r="AQ76" s="245">
        <v>30100</v>
      </c>
      <c r="AR76" s="245">
        <v>1630</v>
      </c>
      <c r="AS76" s="245">
        <v>14.8</v>
      </c>
      <c r="AT76" s="245">
        <v>2030</v>
      </c>
      <c r="AU76" s="245">
        <v>247</v>
      </c>
      <c r="AV76" s="245">
        <v>3.85</v>
      </c>
      <c r="AW76" s="245">
        <v>256</v>
      </c>
      <c r="AX76" s="245">
        <v>587000</v>
      </c>
      <c r="AY76" s="246" t="s">
        <v>692</v>
      </c>
    </row>
    <row r="77" spans="1:51" ht="12.75">
      <c r="A77" s="159" t="s">
        <v>158</v>
      </c>
      <c r="B77" s="26">
        <f>$O$67</f>
        <v>6.1</v>
      </c>
      <c r="C77" s="172" t="s">
        <v>8</v>
      </c>
      <c r="D77" s="120" t="str">
        <f>$Q$67</f>
        <v>e = d/2 (assume horiz. load taken at bot. flange)</v>
      </c>
      <c r="E77" s="157"/>
      <c r="F77" s="44"/>
      <c r="G77" s="44"/>
      <c r="H77" s="44"/>
      <c r="I77" s="44"/>
      <c r="J77" s="76"/>
      <c r="N77" s="115" t="s">
        <v>108</v>
      </c>
      <c r="O77" s="72" t="str">
        <f>IF($C$16&gt;0,IF($O$75&lt;=0.16,IF($O$16&lt;=640/SQRT($C$12)*(1-3.74*$O$75),"Yes","No"),IF($O$16&lt;=257/SQRT($C$12),"Yes","No")),"N.A.")</f>
        <v>Yes</v>
      </c>
      <c r="P77" s="77"/>
      <c r="Q77" s="123"/>
      <c r="R77" s="78"/>
      <c r="S77" s="78"/>
      <c r="T77" s="78"/>
      <c r="U77" s="1"/>
      <c r="AH77" s="243" t="s">
        <v>373</v>
      </c>
      <c r="AI77" s="245">
        <v>124</v>
      </c>
      <c r="AJ77" s="245">
        <v>36.34</v>
      </c>
      <c r="AK77" s="245">
        <v>1.38</v>
      </c>
      <c r="AL77" s="247">
        <v>16.315</v>
      </c>
      <c r="AM77" s="245">
        <v>2.48</v>
      </c>
      <c r="AN77" s="245">
        <v>3.3125</v>
      </c>
      <c r="AO77" s="245">
        <v>4.33</v>
      </c>
      <c r="AP77" s="245">
        <v>0.9</v>
      </c>
      <c r="AQ77" s="245">
        <v>26900</v>
      </c>
      <c r="AR77" s="245">
        <v>1480</v>
      </c>
      <c r="AS77" s="245">
        <v>14.7</v>
      </c>
      <c r="AT77" s="245">
        <v>1800</v>
      </c>
      <c r="AU77" s="245">
        <v>221</v>
      </c>
      <c r="AV77" s="245">
        <v>3.81</v>
      </c>
      <c r="AW77" s="245">
        <v>193</v>
      </c>
      <c r="AX77" s="245">
        <v>514000</v>
      </c>
      <c r="AY77" s="246" t="s">
        <v>693</v>
      </c>
    </row>
    <row r="78" spans="1:51" ht="12.75">
      <c r="A78" s="159" t="s">
        <v>160</v>
      </c>
      <c r="B78" s="27">
        <f>$O$68</f>
        <v>53.35447575922932</v>
      </c>
      <c r="C78" s="173"/>
      <c r="D78" s="120" t="str">
        <f>$Q$68</f>
        <v>at = SQRT(E*Cw/(J*G)) , E=29000 ksi  and  G=11200 ksi</v>
      </c>
      <c r="E78" s="157"/>
      <c r="F78" s="44"/>
      <c r="G78" s="44"/>
      <c r="H78" s="44"/>
      <c r="I78" s="44"/>
      <c r="J78" s="76"/>
      <c r="N78" s="115" t="s">
        <v>110</v>
      </c>
      <c r="O78" s="70" t="str">
        <f>IF($C$16&gt;0,IF($O$15&lt;=65/SQRT($C$12),"Yes","No"),"N.A.")</f>
        <v>Yes</v>
      </c>
      <c r="P78" s="77"/>
      <c r="Q78" s="123"/>
      <c r="R78" s="78"/>
      <c r="S78" s="78"/>
      <c r="T78" s="78"/>
      <c r="U78" s="1"/>
      <c r="AH78" s="243" t="s">
        <v>374</v>
      </c>
      <c r="AI78" s="244">
        <v>114</v>
      </c>
      <c r="AJ78" s="244">
        <v>36</v>
      </c>
      <c r="AK78" s="244">
        <v>1.26</v>
      </c>
      <c r="AL78" s="244">
        <v>16.2</v>
      </c>
      <c r="AM78" s="244">
        <v>2.28</v>
      </c>
      <c r="AN78" s="244">
        <v>3.07</v>
      </c>
      <c r="AO78" s="245">
        <v>4.3</v>
      </c>
      <c r="AP78" s="245">
        <v>0.97</v>
      </c>
      <c r="AQ78" s="244">
        <v>24300</v>
      </c>
      <c r="AR78" s="244">
        <v>1350</v>
      </c>
      <c r="AS78" s="244">
        <v>14.6</v>
      </c>
      <c r="AT78" s="244">
        <v>1620</v>
      </c>
      <c r="AU78" s="244">
        <v>200</v>
      </c>
      <c r="AV78" s="244">
        <v>3.77</v>
      </c>
      <c r="AW78" s="244">
        <v>148</v>
      </c>
      <c r="AX78" s="244">
        <v>459000</v>
      </c>
      <c r="AY78" s="246" t="s">
        <v>694</v>
      </c>
    </row>
    <row r="79" spans="1:51" ht="12.75">
      <c r="A79" s="159" t="s">
        <v>159</v>
      </c>
      <c r="B79" s="16">
        <f>$O$69</f>
        <v>0.8278515305597728</v>
      </c>
      <c r="C79" s="172" t="s">
        <v>24</v>
      </c>
      <c r="D79" s="120" t="str">
        <f>$Q$69</f>
        <v>Mt = Ph*e*at/(d-tf)*TANH(Lo*12/at)/12</v>
      </c>
      <c r="E79" s="157"/>
      <c r="F79" s="44"/>
      <c r="G79" s="44"/>
      <c r="H79" s="44"/>
      <c r="I79" s="44"/>
      <c r="J79" s="76"/>
      <c r="N79" s="115" t="s">
        <v>111</v>
      </c>
      <c r="O79" s="70" t="str">
        <f>IF($C$16&gt;0,IF($O$15&gt;95/SQRT($C$12),"Yes","No"),"N.A.")</f>
        <v>No</v>
      </c>
      <c r="P79" s="77"/>
      <c r="Q79" s="123"/>
      <c r="R79" s="78"/>
      <c r="S79" s="78"/>
      <c r="T79" s="78"/>
      <c r="U79" s="1"/>
      <c r="W79" s="306" t="s">
        <v>981</v>
      </c>
      <c r="X79" s="306"/>
      <c r="Y79" s="306"/>
      <c r="Z79" s="306"/>
      <c r="AA79" s="306"/>
      <c r="AB79" s="306"/>
      <c r="AC79" s="306"/>
      <c r="AD79" s="306"/>
      <c r="AE79" s="306"/>
      <c r="AF79" s="306"/>
      <c r="AH79" s="243" t="s">
        <v>375</v>
      </c>
      <c r="AI79" s="244">
        <v>104</v>
      </c>
      <c r="AJ79" s="244">
        <v>35.6</v>
      </c>
      <c r="AK79" s="244">
        <v>1.16</v>
      </c>
      <c r="AL79" s="244">
        <v>16.1</v>
      </c>
      <c r="AM79" s="244">
        <v>2.09</v>
      </c>
      <c r="AN79" s="244">
        <v>2.88</v>
      </c>
      <c r="AO79" s="245">
        <v>4.27</v>
      </c>
      <c r="AP79" s="245">
        <v>1.06</v>
      </c>
      <c r="AQ79" s="244">
        <v>22000</v>
      </c>
      <c r="AR79" s="244">
        <v>1240</v>
      </c>
      <c r="AS79" s="244">
        <v>14.5</v>
      </c>
      <c r="AT79" s="244">
        <v>1460</v>
      </c>
      <c r="AU79" s="244">
        <v>181</v>
      </c>
      <c r="AV79" s="244">
        <v>3.74</v>
      </c>
      <c r="AW79" s="244">
        <v>115</v>
      </c>
      <c r="AX79" s="244">
        <v>409000</v>
      </c>
      <c r="AY79" s="246" t="s">
        <v>695</v>
      </c>
    </row>
    <row r="80" spans="1:51" ht="12.75">
      <c r="A80" s="83"/>
      <c r="B80" s="44"/>
      <c r="C80" s="44"/>
      <c r="D80" s="44"/>
      <c r="E80" s="44"/>
      <c r="F80" s="44"/>
      <c r="G80" s="44"/>
      <c r="H80" s="44"/>
      <c r="I80" s="44"/>
      <c r="J80" s="76"/>
      <c r="N80" s="115" t="s">
        <v>109</v>
      </c>
      <c r="O80" s="72" t="str">
        <f>IF($C$16&gt;0,IF(AND($O$76="Yes",$O$77="Yes",$O$78="Yes"),0.66*$C$12,"N.A."),"N.A.")</f>
        <v>N.A.</v>
      </c>
      <c r="P80" s="156" t="s">
        <v>117</v>
      </c>
      <c r="Q80" s="123" t="s">
        <v>122</v>
      </c>
      <c r="S80" s="78"/>
      <c r="T80" s="78"/>
      <c r="U80" s="1"/>
      <c r="W80" s="307" t="s">
        <v>909</v>
      </c>
      <c r="X80" s="308"/>
      <c r="Y80" s="308"/>
      <c r="Z80" s="308"/>
      <c r="AA80" s="308"/>
      <c r="AB80" s="308"/>
      <c r="AC80" s="308"/>
      <c r="AD80" s="308"/>
      <c r="AE80" s="308"/>
      <c r="AF80" s="309"/>
      <c r="AH80" s="243" t="s">
        <v>376</v>
      </c>
      <c r="AI80" s="244">
        <v>93.6</v>
      </c>
      <c r="AJ80" s="244">
        <v>35.2</v>
      </c>
      <c r="AK80" s="244">
        <v>1.04</v>
      </c>
      <c r="AL80" s="244">
        <v>16</v>
      </c>
      <c r="AM80" s="244">
        <v>1.89</v>
      </c>
      <c r="AN80" s="244">
        <v>2.68</v>
      </c>
      <c r="AO80" s="245">
        <v>4.24</v>
      </c>
      <c r="AP80" s="245">
        <v>1.16</v>
      </c>
      <c r="AQ80" s="244">
        <v>19500</v>
      </c>
      <c r="AR80" s="244">
        <v>1110</v>
      </c>
      <c r="AS80" s="244">
        <v>14.5</v>
      </c>
      <c r="AT80" s="244">
        <v>1290</v>
      </c>
      <c r="AU80" s="244">
        <v>161</v>
      </c>
      <c r="AV80" s="244">
        <v>3.71</v>
      </c>
      <c r="AW80" s="244">
        <v>84.4</v>
      </c>
      <c r="AX80" s="244">
        <v>357000</v>
      </c>
      <c r="AY80" s="246" t="s">
        <v>696</v>
      </c>
    </row>
    <row r="81" spans="1:51" ht="12.75">
      <c r="A81" s="84" t="s">
        <v>238</v>
      </c>
      <c r="B81" s="44"/>
      <c r="C81" s="44"/>
      <c r="D81" s="44"/>
      <c r="E81" s="44"/>
      <c r="F81" s="44"/>
      <c r="G81" s="44"/>
      <c r="H81" s="44"/>
      <c r="I81" s="44"/>
      <c r="J81" s="76"/>
      <c r="N81" s="115" t="s">
        <v>109</v>
      </c>
      <c r="O81" s="75" t="str">
        <f>IF($C$16&gt;0,IF(AND($O$76="Yes",$O$77="Yes",$O$78="No",$O$79="No"),$C$12*(0.79-0.002*$O$15*SQRT($C$12)),"N.A."),"N.A.")</f>
        <v>N.A.</v>
      </c>
      <c r="P81" s="156" t="s">
        <v>123</v>
      </c>
      <c r="Q81" s="123" t="s">
        <v>124</v>
      </c>
      <c r="S81" s="78"/>
      <c r="T81" s="78"/>
      <c r="U81" s="1"/>
      <c r="V81" s="78"/>
      <c r="W81" s="310" t="s">
        <v>158</v>
      </c>
      <c r="X81" s="311">
        <f>$F$20/2</f>
        <v>6.1</v>
      </c>
      <c r="Y81" s="312" t="s">
        <v>8</v>
      </c>
      <c r="Z81" s="313" t="s">
        <v>187</v>
      </c>
      <c r="AA81" s="313"/>
      <c r="AB81" s="313"/>
      <c r="AC81" s="313"/>
      <c r="AD81" s="313"/>
      <c r="AE81" s="313"/>
      <c r="AF81" s="314"/>
      <c r="AH81" s="243" t="s">
        <v>377</v>
      </c>
      <c r="AI81" s="244">
        <v>85.7</v>
      </c>
      <c r="AJ81" s="244">
        <v>34.8</v>
      </c>
      <c r="AK81" s="244">
        <v>0.96</v>
      </c>
      <c r="AL81" s="244">
        <v>15.9</v>
      </c>
      <c r="AM81" s="244">
        <v>1.73</v>
      </c>
      <c r="AN81" s="244">
        <v>2.52</v>
      </c>
      <c r="AO81" s="245">
        <v>4.21</v>
      </c>
      <c r="AP81" s="245">
        <v>1.27</v>
      </c>
      <c r="AQ81" s="244">
        <v>17700</v>
      </c>
      <c r="AR81" s="244">
        <v>1020</v>
      </c>
      <c r="AS81" s="244">
        <v>14.4</v>
      </c>
      <c r="AT81" s="244">
        <v>1160</v>
      </c>
      <c r="AU81" s="244">
        <v>146</v>
      </c>
      <c r="AV81" s="244">
        <v>3.68</v>
      </c>
      <c r="AW81" s="244">
        <v>65.1</v>
      </c>
      <c r="AX81" s="244">
        <v>318000</v>
      </c>
      <c r="AY81" s="246" t="s">
        <v>697</v>
      </c>
    </row>
    <row r="82" spans="1:51" ht="12.75">
      <c r="A82" s="85" t="s">
        <v>25</v>
      </c>
      <c r="B82" s="15">
        <f>$O$71</f>
        <v>3.672897196261682</v>
      </c>
      <c r="C82" s="96" t="s">
        <v>9</v>
      </c>
      <c r="D82" s="48" t="str">
        <f>$Q$71</f>
        <v>fbx = Mx/Sx</v>
      </c>
      <c r="E82" s="44"/>
      <c r="F82" s="44"/>
      <c r="G82" s="44"/>
      <c r="H82" s="44"/>
      <c r="I82" s="44"/>
      <c r="J82" s="76"/>
      <c r="N82" s="115" t="s">
        <v>109</v>
      </c>
      <c r="O82" s="75" t="str">
        <f>IF($C$16&gt;0,IF($C$17&lt;=76*$F$22/SQRT($C$12)/12,IF(OR($O$77="No",$O$78="No",$O$79="Yes"),$O$17*0.6*$C$12,"N.A."),"N.A."),"N.A.")</f>
        <v>N.A.</v>
      </c>
      <c r="P82" s="156" t="s">
        <v>118</v>
      </c>
      <c r="Q82" s="123" t="s">
        <v>125</v>
      </c>
      <c r="S82" s="116"/>
      <c r="T82" s="78"/>
      <c r="V82" s="78"/>
      <c r="W82" s="310" t="s">
        <v>184</v>
      </c>
      <c r="X82" s="311">
        <f>$B$33*$X$81</f>
        <v>3.66</v>
      </c>
      <c r="Y82" s="312" t="s">
        <v>186</v>
      </c>
      <c r="Z82" s="313" t="s">
        <v>188</v>
      </c>
      <c r="AA82" s="313"/>
      <c r="AB82" s="313"/>
      <c r="AC82" s="313"/>
      <c r="AD82" s="313"/>
      <c r="AE82" s="313"/>
      <c r="AF82" s="314"/>
      <c r="AH82" s="243" t="s">
        <v>378</v>
      </c>
      <c r="AI82" s="244">
        <v>77.5</v>
      </c>
      <c r="AJ82" s="244">
        <v>34.5</v>
      </c>
      <c r="AK82" s="244">
        <v>0.87</v>
      </c>
      <c r="AL82" s="244">
        <v>15.8</v>
      </c>
      <c r="AM82" s="244">
        <v>1.57</v>
      </c>
      <c r="AN82" s="244">
        <v>2.36</v>
      </c>
      <c r="AO82" s="245">
        <v>4.18</v>
      </c>
      <c r="AP82" s="245">
        <v>1.39</v>
      </c>
      <c r="AQ82" s="244">
        <v>15900</v>
      </c>
      <c r="AR82" s="244">
        <v>919</v>
      </c>
      <c r="AS82" s="244">
        <v>14.3</v>
      </c>
      <c r="AT82" s="244">
        <v>1040</v>
      </c>
      <c r="AU82" s="244">
        <v>131</v>
      </c>
      <c r="AV82" s="244">
        <v>3.66</v>
      </c>
      <c r="AW82" s="244">
        <v>48.7</v>
      </c>
      <c r="AX82" s="244">
        <v>282000</v>
      </c>
      <c r="AY82" s="246" t="s">
        <v>698</v>
      </c>
    </row>
    <row r="83" spans="1:51" ht="12.75">
      <c r="A83" s="117" t="s">
        <v>180</v>
      </c>
      <c r="B83" s="17">
        <f>$O$74</f>
        <v>63.594470046082954</v>
      </c>
      <c r="C83" s="104"/>
      <c r="D83" s="44" t="str">
        <f>$Q$74</f>
        <v>Lbo/rt = Lbo*12/rt</v>
      </c>
      <c r="E83" s="44"/>
      <c r="F83" s="44"/>
      <c r="G83" s="44"/>
      <c r="H83" s="44"/>
      <c r="I83" s="44"/>
      <c r="J83" s="76"/>
      <c r="N83" s="115" t="s">
        <v>109</v>
      </c>
      <c r="O83" s="75">
        <f>IF($C$16&gt;0,IF($E$16&gt;=0,IF($C$17&gt;$O$72,IF(OR($O$76="No",$O$77="No",$O$79="Yes"),IF(AND($O$74&gt;SQRT(102000*$C$18/$C$12),$O$74&lt;=SQRT(510000*$C$18/$C$12)),MIN((2/3-$C$12*$O$74^2/(1530000*$C$18))*$C$12,$O$17*0.6*$C$12),"N.A."),"N.A."),"N.A."),"N.A."),"N.A.")</f>
        <v>20.574276745037242</v>
      </c>
      <c r="P83" s="77" t="s">
        <v>119</v>
      </c>
      <c r="Q83" s="123" t="s">
        <v>927</v>
      </c>
      <c r="S83" s="116"/>
      <c r="T83" s="78"/>
      <c r="W83" s="310" t="s">
        <v>160</v>
      </c>
      <c r="X83" s="311">
        <f>SQRT(29000*$I$25/($I$24*11200))</f>
        <v>53.35447575922932</v>
      </c>
      <c r="Y83" s="312"/>
      <c r="Z83" s="313" t="s">
        <v>161</v>
      </c>
      <c r="AA83" s="313"/>
      <c r="AB83" s="313"/>
      <c r="AC83" s="313"/>
      <c r="AD83" s="313"/>
      <c r="AE83" s="313"/>
      <c r="AF83" s="314"/>
      <c r="AH83" s="243" t="s">
        <v>379</v>
      </c>
      <c r="AI83" s="244">
        <v>71</v>
      </c>
      <c r="AJ83" s="244">
        <v>34.2</v>
      </c>
      <c r="AK83" s="244">
        <v>0.83</v>
      </c>
      <c r="AL83" s="244">
        <v>15.9</v>
      </c>
      <c r="AM83" s="244">
        <v>1.4</v>
      </c>
      <c r="AN83" s="244">
        <v>2.19</v>
      </c>
      <c r="AO83" s="245">
        <v>4.17</v>
      </c>
      <c r="AP83" s="245">
        <v>1.54</v>
      </c>
      <c r="AQ83" s="244">
        <v>14200</v>
      </c>
      <c r="AR83" s="244">
        <v>831</v>
      </c>
      <c r="AS83" s="244">
        <v>14.1</v>
      </c>
      <c r="AT83" s="244">
        <v>933</v>
      </c>
      <c r="AU83" s="244">
        <v>118</v>
      </c>
      <c r="AV83" s="244">
        <v>3.62</v>
      </c>
      <c r="AW83" s="244">
        <v>36.2</v>
      </c>
      <c r="AX83" s="244">
        <v>251000</v>
      </c>
      <c r="AY83" s="246" t="s">
        <v>699</v>
      </c>
    </row>
    <row r="84" spans="1:54" ht="12.75">
      <c r="A84" s="85" t="s">
        <v>109</v>
      </c>
      <c r="B84" s="16">
        <f>$O$87</f>
        <v>21.599999999999998</v>
      </c>
      <c r="C84" s="96" t="s">
        <v>9</v>
      </c>
      <c r="D84" s="44" t="str">
        <f>VLOOKUP($O$87,$O$80:$Q$85,3,FALSE)</f>
        <v>Fbx = 12000*Cbo/(Lbo*12*(d/Af)) &lt;= 0.60*Fy</v>
      </c>
      <c r="E84" s="44"/>
      <c r="F84" s="44"/>
      <c r="G84" s="44"/>
      <c r="H84" s="44"/>
      <c r="I84" s="160" t="str">
        <f>IF($C$16&gt;0,IF($B$82&lt;=$B$84,"fbx &lt;= Fbx,  O.K.","fbx &gt; Fbx"),"")</f>
        <v>fbx &lt;= Fbx,  O.K.</v>
      </c>
      <c r="J84" s="76"/>
      <c r="N84" s="115" t="s">
        <v>109</v>
      </c>
      <c r="O84" s="75" t="str">
        <f>IF($C$16&gt;0,IF($E$16&gt;=0,IF($C$17&gt;$O$72,IF(OR($O$76="No",$O$77="No",$O$79="Yes"),IF(AND($O$74&gt;SQRT(102000*$C$18/$C$12),$O$74&gt;SQRT(510000*$C$18/$C$12)),MIN(170000*$C$18/$O$74^2,$O$17*0.6*$C$12),"N.A."),"N.A."),"N.A."),"N.A."),"N.A.")</f>
        <v>N.A.</v>
      </c>
      <c r="P84" s="77" t="s">
        <v>120</v>
      </c>
      <c r="Q84" s="123" t="s">
        <v>928</v>
      </c>
      <c r="S84" s="116"/>
      <c r="T84" s="78"/>
      <c r="U84" s="71"/>
      <c r="W84" s="310" t="s">
        <v>189</v>
      </c>
      <c r="X84" s="315">
        <f>($F$20-$F$23)*$F$22/4</f>
        <v>23.3512</v>
      </c>
      <c r="Y84" s="316" t="s">
        <v>17</v>
      </c>
      <c r="Z84" s="313" t="s">
        <v>190</v>
      </c>
      <c r="AA84" s="313"/>
      <c r="AB84" s="313"/>
      <c r="AC84" s="313"/>
      <c r="AD84" s="313"/>
      <c r="AE84" s="313"/>
      <c r="AF84" s="314"/>
      <c r="AH84" s="243" t="s">
        <v>380</v>
      </c>
      <c r="AI84" s="244">
        <v>65.2</v>
      </c>
      <c r="AJ84" s="244">
        <v>33.9</v>
      </c>
      <c r="AK84" s="244">
        <v>0.775</v>
      </c>
      <c r="AL84" s="244">
        <v>15.8</v>
      </c>
      <c r="AM84" s="244">
        <v>1.27</v>
      </c>
      <c r="AN84" s="244">
        <v>2.06</v>
      </c>
      <c r="AO84" s="245">
        <v>4.15</v>
      </c>
      <c r="AP84" s="245">
        <v>1.68</v>
      </c>
      <c r="AQ84" s="244">
        <v>12900</v>
      </c>
      <c r="AR84" s="244">
        <v>759</v>
      </c>
      <c r="AS84" s="244">
        <v>14.1</v>
      </c>
      <c r="AT84" s="244">
        <v>840</v>
      </c>
      <c r="AU84" s="244">
        <v>106</v>
      </c>
      <c r="AV84" s="244">
        <v>3.59</v>
      </c>
      <c r="AW84" s="244">
        <v>27.8</v>
      </c>
      <c r="AX84" s="244">
        <v>224000</v>
      </c>
      <c r="AY84" s="246" t="s">
        <v>657</v>
      </c>
      <c r="BA84" s="204" t="s">
        <v>225</v>
      </c>
      <c r="BB84" s="205">
        <f>IF($C$16&gt;0,$B$82/$B$84,"")</f>
        <v>0.17004153686396678</v>
      </c>
    </row>
    <row r="85" spans="1:51" ht="12.75">
      <c r="A85" s="83"/>
      <c r="B85" s="44"/>
      <c r="C85" s="44"/>
      <c r="D85" s="44"/>
      <c r="E85" s="44"/>
      <c r="F85" s="44"/>
      <c r="G85" s="44"/>
      <c r="H85" s="44"/>
      <c r="I85" s="44"/>
      <c r="J85" s="76"/>
      <c r="M85" s="142"/>
      <c r="N85" s="115" t="s">
        <v>109</v>
      </c>
      <c r="O85" s="75">
        <f>IF($C$16&gt;0,IF($E$16&gt;=0,IF($C$17&gt;$O$72,IF(OR($O$76="No",$O$77="No",$O$79="Yes"),MIN(12000*$C$18/($C$17*12*$I$19),$O$17*0.6*$C$12),"N.A."),$O$17*0.6*$C$12),"N.A."),"N.A.")</f>
        <v>21.599999999999998</v>
      </c>
      <c r="P85" s="77" t="s">
        <v>121</v>
      </c>
      <c r="Q85" s="123" t="s">
        <v>958</v>
      </c>
      <c r="S85" s="78"/>
      <c r="T85" s="78"/>
      <c r="U85" s="49"/>
      <c r="W85" s="317" t="s">
        <v>982</v>
      </c>
      <c r="X85" s="311">
        <f>1</f>
        <v>1</v>
      </c>
      <c r="Y85" s="312"/>
      <c r="Z85" s="318" t="s">
        <v>989</v>
      </c>
      <c r="AA85" s="313"/>
      <c r="AB85" s="313"/>
      <c r="AC85" s="313"/>
      <c r="AD85" s="313"/>
      <c r="AE85" s="313"/>
      <c r="AF85" s="314"/>
      <c r="AH85" s="243" t="s">
        <v>381</v>
      </c>
      <c r="AI85" s="244">
        <v>59.2</v>
      </c>
      <c r="AJ85" s="244">
        <v>33.7</v>
      </c>
      <c r="AK85" s="244">
        <v>0.715</v>
      </c>
      <c r="AL85" s="244">
        <v>15.7</v>
      </c>
      <c r="AM85" s="244">
        <v>1.15</v>
      </c>
      <c r="AN85" s="244">
        <v>1.94</v>
      </c>
      <c r="AO85" s="245">
        <v>4.12</v>
      </c>
      <c r="AP85" s="245">
        <v>1.86</v>
      </c>
      <c r="AQ85" s="244">
        <v>11600</v>
      </c>
      <c r="AR85" s="244">
        <v>686</v>
      </c>
      <c r="AS85" s="244">
        <v>14</v>
      </c>
      <c r="AT85" s="244">
        <v>749</v>
      </c>
      <c r="AU85" s="244">
        <v>95.2</v>
      </c>
      <c r="AV85" s="244">
        <v>3.56</v>
      </c>
      <c r="AW85" s="244">
        <v>20.8</v>
      </c>
      <c r="AX85" s="244">
        <v>198000</v>
      </c>
      <c r="AY85" s="246" t="s">
        <v>700</v>
      </c>
    </row>
    <row r="86" spans="1:51" ht="12.75">
      <c r="A86" s="84" t="s">
        <v>239</v>
      </c>
      <c r="B86" s="44"/>
      <c r="C86" s="44"/>
      <c r="D86" s="44"/>
      <c r="E86" s="44"/>
      <c r="F86" s="44"/>
      <c r="G86" s="44"/>
      <c r="H86" s="44"/>
      <c r="I86" s="44"/>
      <c r="J86" s="76"/>
      <c r="M86" s="142"/>
      <c r="N86" s="115" t="s">
        <v>109</v>
      </c>
      <c r="O86" s="75">
        <f>IF($C$16&gt;0,IF($E$16&gt;=0,IF($O$74&gt;SQRT(102000*$C$18/$C$12),IF($O$74&lt;=SQRT(510000*$C$18/$C$12),MIN(MAX($O$83,$O$85),$O$17*0.6*$C$12),MIN(MAX($O$84,$O$85),$O$17*0.6*$C$12)),$O$17*0.6*$C$12),0.6*$C$12),"N.A.")</f>
        <v>21.599999999999998</v>
      </c>
      <c r="P86" s="77" t="s">
        <v>128</v>
      </c>
      <c r="Q86" s="78"/>
      <c r="R86" s="78"/>
      <c r="S86" s="78"/>
      <c r="T86" s="78"/>
      <c r="U86" s="49"/>
      <c r="W86" s="310" t="s">
        <v>185</v>
      </c>
      <c r="X86" s="311">
        <v>0</v>
      </c>
      <c r="Y86" s="312" t="s">
        <v>8</v>
      </c>
      <c r="Z86" s="313" t="s">
        <v>220</v>
      </c>
      <c r="AA86" s="313"/>
      <c r="AB86" s="313"/>
      <c r="AC86" s="313"/>
      <c r="AD86" s="313"/>
      <c r="AE86" s="313"/>
      <c r="AF86" s="314"/>
      <c r="AH86" s="243" t="s">
        <v>382</v>
      </c>
      <c r="AI86" s="244">
        <v>49.5</v>
      </c>
      <c r="AJ86" s="244">
        <v>33.8</v>
      </c>
      <c r="AK86" s="244">
        <v>0.67</v>
      </c>
      <c r="AL86" s="244">
        <v>11.5</v>
      </c>
      <c r="AM86" s="244">
        <v>1.22</v>
      </c>
      <c r="AN86" s="244">
        <v>1.92</v>
      </c>
      <c r="AO86" s="245">
        <v>2.95</v>
      </c>
      <c r="AP86" s="245">
        <v>2.41</v>
      </c>
      <c r="AQ86" s="244">
        <v>9290</v>
      </c>
      <c r="AR86" s="244">
        <v>549</v>
      </c>
      <c r="AS86" s="244">
        <v>13.7</v>
      </c>
      <c r="AT86" s="244">
        <v>310</v>
      </c>
      <c r="AU86" s="244">
        <v>53.9</v>
      </c>
      <c r="AV86" s="244">
        <v>2.5</v>
      </c>
      <c r="AW86" s="244">
        <v>17.7</v>
      </c>
      <c r="AX86" s="244">
        <v>82400</v>
      </c>
      <c r="AY86" s="246" t="s">
        <v>701</v>
      </c>
    </row>
    <row r="87" spans="1:51" ht="12.75">
      <c r="A87" s="85" t="s">
        <v>192</v>
      </c>
      <c r="B87" s="15">
        <f>$O$89</f>
        <v>1.3597122302158275</v>
      </c>
      <c r="C87" s="96" t="s">
        <v>9</v>
      </c>
      <c r="D87" s="120" t="str">
        <f>$Q$89</f>
        <v>fby = My/Sy</v>
      </c>
      <c r="E87" s="44"/>
      <c r="F87" s="44"/>
      <c r="G87" s="44"/>
      <c r="H87" s="44"/>
      <c r="I87" s="44"/>
      <c r="J87" s="76"/>
      <c r="M87" s="142"/>
      <c r="N87" s="121" t="s">
        <v>112</v>
      </c>
      <c r="O87" s="79">
        <f>IF($C$16&gt;0,IF($O$76="Yes",IF($O$77="Yes",IF($O$78="Yes",$O$80,IF($O$79="No",$O$81,$O$86)),$O$86),$O$86),"N.A.")</f>
        <v>21.599999999999998</v>
      </c>
      <c r="P87" s="156" t="s">
        <v>9</v>
      </c>
      <c r="Q87" s="78"/>
      <c r="R87" s="78"/>
      <c r="S87" s="78"/>
      <c r="T87" s="78"/>
      <c r="U87" s="45"/>
      <c r="W87" s="310" t="s">
        <v>182</v>
      </c>
      <c r="X87" s="319">
        <f>$X$45/($I$24*11200)</f>
        <v>0.00019110275689223057</v>
      </c>
      <c r="Y87" s="312"/>
      <c r="Z87" s="313" t="s">
        <v>191</v>
      </c>
      <c r="AA87" s="313"/>
      <c r="AB87" s="313"/>
      <c r="AC87" s="313"/>
      <c r="AD87" s="313"/>
      <c r="AE87" s="313"/>
      <c r="AF87" s="314"/>
      <c r="AH87" s="243" t="s">
        <v>383</v>
      </c>
      <c r="AI87" s="244">
        <v>44.8</v>
      </c>
      <c r="AJ87" s="244">
        <v>33.5</v>
      </c>
      <c r="AK87" s="244">
        <v>0.635</v>
      </c>
      <c r="AL87" s="244">
        <v>11.6</v>
      </c>
      <c r="AM87" s="244">
        <v>1.06</v>
      </c>
      <c r="AN87" s="244">
        <v>1.76</v>
      </c>
      <c r="AO87" s="245">
        <v>2.94</v>
      </c>
      <c r="AP87" s="245">
        <v>2.74</v>
      </c>
      <c r="AQ87" s="244">
        <v>8160</v>
      </c>
      <c r="AR87" s="244">
        <v>487</v>
      </c>
      <c r="AS87" s="244">
        <v>13.5</v>
      </c>
      <c r="AT87" s="244">
        <v>273</v>
      </c>
      <c r="AU87" s="244">
        <v>47.2</v>
      </c>
      <c r="AV87" s="244">
        <v>2.47</v>
      </c>
      <c r="AW87" s="244">
        <v>12.4</v>
      </c>
      <c r="AX87" s="244">
        <v>71800</v>
      </c>
      <c r="AY87" s="246" t="s">
        <v>702</v>
      </c>
    </row>
    <row r="88" spans="1:51" ht="12.75">
      <c r="A88" s="85" t="s">
        <v>194</v>
      </c>
      <c r="B88" s="17">
        <f>$O$90</f>
        <v>1.4293839376571615</v>
      </c>
      <c r="C88" s="96" t="s">
        <v>9</v>
      </c>
      <c r="D88" s="120" t="str">
        <f>$Q$90</f>
        <v>fwns = Mt*12/(Sy/2) (warping normal stress)</v>
      </c>
      <c r="E88" s="44"/>
      <c r="F88" s="44"/>
      <c r="G88" s="44"/>
      <c r="H88" s="44"/>
      <c r="I88" s="44"/>
      <c r="J88" s="76"/>
      <c r="N88" s="108" t="s">
        <v>239</v>
      </c>
      <c r="W88" s="310" t="s">
        <v>183</v>
      </c>
      <c r="X88" s="326">
        <f>SINH($X$85*$C$16*12/$X$83)-TANH($C$16*12/$X$83)*COSH($X$85*$C$16*12/$X$83)+TANH($C$16*12/$X$83)</f>
        <v>0.5880843114917951</v>
      </c>
      <c r="Y88" s="312"/>
      <c r="Z88" s="313" t="s">
        <v>990</v>
      </c>
      <c r="AA88" s="313"/>
      <c r="AB88" s="313"/>
      <c r="AC88" s="313"/>
      <c r="AD88" s="313"/>
      <c r="AE88" s="313"/>
      <c r="AF88" s="314"/>
      <c r="AH88" s="243" t="s">
        <v>384</v>
      </c>
      <c r="AI88" s="244">
        <v>41.6</v>
      </c>
      <c r="AJ88" s="244">
        <v>33.3</v>
      </c>
      <c r="AK88" s="244">
        <v>0.605</v>
      </c>
      <c r="AL88" s="244">
        <v>11.5</v>
      </c>
      <c r="AM88" s="244">
        <v>0.96</v>
      </c>
      <c r="AN88" s="244">
        <v>1.66</v>
      </c>
      <c r="AO88" s="245">
        <v>2.92</v>
      </c>
      <c r="AP88" s="245">
        <v>3.01</v>
      </c>
      <c r="AQ88" s="244">
        <v>7450</v>
      </c>
      <c r="AR88" s="244">
        <v>448</v>
      </c>
      <c r="AS88" s="244">
        <v>13.4</v>
      </c>
      <c r="AT88" s="244">
        <v>246</v>
      </c>
      <c r="AU88" s="244">
        <v>42.7</v>
      </c>
      <c r="AV88" s="244">
        <v>2.43</v>
      </c>
      <c r="AW88" s="244">
        <v>9.7</v>
      </c>
      <c r="AX88" s="244">
        <v>64300</v>
      </c>
      <c r="AY88" s="246" t="s">
        <v>703</v>
      </c>
    </row>
    <row r="89" spans="1:51" ht="12.75">
      <c r="A89" s="85" t="s">
        <v>166</v>
      </c>
      <c r="B89" s="17">
        <f>$O$91</f>
        <v>2.789096167872989</v>
      </c>
      <c r="C89" s="96" t="s">
        <v>9</v>
      </c>
      <c r="D89" s="120" t="str">
        <f>$Q$91</f>
        <v>fby(total) = fby+fwns</v>
      </c>
      <c r="E89" s="44"/>
      <c r="F89" s="44"/>
      <c r="G89" s="44"/>
      <c r="H89" s="44"/>
      <c r="I89" s="44"/>
      <c r="J89" s="76"/>
      <c r="N89" s="115" t="s">
        <v>192</v>
      </c>
      <c r="O89" s="75">
        <f>IF($C$16&gt;0,$O$65*12/$I$23,"N.A")</f>
        <v>1.3597122302158275</v>
      </c>
      <c r="P89" s="156" t="s">
        <v>9</v>
      </c>
      <c r="Q89" s="123" t="s">
        <v>193</v>
      </c>
      <c r="R89" s="78"/>
      <c r="W89" s="317" t="s">
        <v>985</v>
      </c>
      <c r="X89" s="326">
        <f>$X$87/$X$83*($X$88*COSH($X$86/$X$83)-SINH($X$86/$X$83))</f>
        <v>2.106374987513787E-06</v>
      </c>
      <c r="Y89" s="312"/>
      <c r="Z89" s="318" t="s">
        <v>991</v>
      </c>
      <c r="AA89" s="313"/>
      <c r="AB89" s="313"/>
      <c r="AC89" s="313"/>
      <c r="AD89" s="313"/>
      <c r="AE89" s="313"/>
      <c r="AF89" s="314"/>
      <c r="AH89" s="243" t="s">
        <v>385</v>
      </c>
      <c r="AI89" s="244">
        <v>38.3</v>
      </c>
      <c r="AJ89" s="244">
        <v>33.1</v>
      </c>
      <c r="AK89" s="244">
        <v>0.58</v>
      </c>
      <c r="AL89" s="244">
        <v>11.5</v>
      </c>
      <c r="AM89" s="244">
        <v>0.855</v>
      </c>
      <c r="AN89" s="244">
        <v>1.56</v>
      </c>
      <c r="AO89" s="245">
        <v>2.88</v>
      </c>
      <c r="AP89" s="245">
        <v>3.36</v>
      </c>
      <c r="AQ89" s="244">
        <v>6710</v>
      </c>
      <c r="AR89" s="244">
        <v>406</v>
      </c>
      <c r="AS89" s="244">
        <v>13.2</v>
      </c>
      <c r="AT89" s="244">
        <v>218</v>
      </c>
      <c r="AU89" s="244">
        <v>37.9</v>
      </c>
      <c r="AV89" s="244">
        <v>2.39</v>
      </c>
      <c r="AW89" s="244">
        <v>7.37</v>
      </c>
      <c r="AX89" s="244">
        <v>56600</v>
      </c>
      <c r="AY89" s="246" t="s">
        <v>704</v>
      </c>
    </row>
    <row r="90" spans="1:54" ht="12.75">
      <c r="A90" s="85" t="s">
        <v>106</v>
      </c>
      <c r="B90" s="16">
        <f>$O$92</f>
        <v>27</v>
      </c>
      <c r="C90" s="96" t="s">
        <v>9</v>
      </c>
      <c r="D90" s="141" t="str">
        <f>$Q$92</f>
        <v>Fby = 0.75*Fy</v>
      </c>
      <c r="E90" s="44"/>
      <c r="F90" s="44"/>
      <c r="G90" s="44"/>
      <c r="H90" s="44"/>
      <c r="I90" s="160" t="str">
        <f>IF($C$16&gt;0,IF($B$89&lt;=$B$90,"fby &lt;= Fby,  O.K.","fby &gt; Fby"),"")</f>
        <v>fby &lt;= Fby,  O.K.</v>
      </c>
      <c r="J90" s="76"/>
      <c r="N90" s="136" t="s">
        <v>194</v>
      </c>
      <c r="O90" s="75">
        <f>IF($C$16&gt;0,$O$69*12/($I$23/2),"N.A.")</f>
        <v>1.4293839376571615</v>
      </c>
      <c r="P90" s="156" t="s">
        <v>9</v>
      </c>
      <c r="Q90" s="78" t="s">
        <v>195</v>
      </c>
      <c r="W90" s="320" t="s">
        <v>987</v>
      </c>
      <c r="X90" s="321">
        <f>ABS(29000*$X$84*$X$89)</f>
        <v>1.4264051246445264</v>
      </c>
      <c r="Y90" s="322" t="s">
        <v>9</v>
      </c>
      <c r="Z90" s="323" t="s">
        <v>988</v>
      </c>
      <c r="AA90" s="324"/>
      <c r="AB90" s="324"/>
      <c r="AC90" s="324"/>
      <c r="AD90" s="324"/>
      <c r="AE90" s="324"/>
      <c r="AF90" s="325"/>
      <c r="AH90" s="243" t="s">
        <v>386</v>
      </c>
      <c r="AI90" s="244">
        <v>34.7</v>
      </c>
      <c r="AJ90" s="244">
        <v>32.9</v>
      </c>
      <c r="AK90" s="244">
        <v>0.55</v>
      </c>
      <c r="AL90" s="244">
        <v>11.5</v>
      </c>
      <c r="AM90" s="244">
        <v>0.74</v>
      </c>
      <c r="AN90" s="244">
        <v>1.44</v>
      </c>
      <c r="AO90" s="245">
        <v>2.84</v>
      </c>
      <c r="AP90" s="245">
        <v>3.87</v>
      </c>
      <c r="AQ90" s="244">
        <v>5900</v>
      </c>
      <c r="AR90" s="244">
        <v>359</v>
      </c>
      <c r="AS90" s="244">
        <v>13</v>
      </c>
      <c r="AT90" s="244">
        <v>187</v>
      </c>
      <c r="AU90" s="244">
        <v>32.6</v>
      </c>
      <c r="AV90" s="244">
        <v>2.32</v>
      </c>
      <c r="AW90" s="244">
        <v>5.3</v>
      </c>
      <c r="AX90" s="244">
        <v>48200</v>
      </c>
      <c r="AY90" s="246" t="s">
        <v>705</v>
      </c>
      <c r="BA90" s="204" t="s">
        <v>225</v>
      </c>
      <c r="BB90" s="205">
        <f>IF($C$16&gt;0,$B$89/$B$90,"")</f>
        <v>0.10329985806936996</v>
      </c>
    </row>
    <row r="91" spans="1:51" ht="12.75">
      <c r="A91" s="83"/>
      <c r="B91" s="44"/>
      <c r="C91" s="44"/>
      <c r="D91" s="44"/>
      <c r="E91" s="44"/>
      <c r="F91" s="44"/>
      <c r="G91" s="44"/>
      <c r="H91" s="44"/>
      <c r="I91" s="44"/>
      <c r="J91" s="76"/>
      <c r="N91" s="136" t="s">
        <v>166</v>
      </c>
      <c r="O91" s="75">
        <f>IF($C$16&gt;0,$O$89+$O$90,"N.A.")</f>
        <v>2.789096167872989</v>
      </c>
      <c r="P91" s="156" t="s">
        <v>9</v>
      </c>
      <c r="Q91" s="78" t="s">
        <v>196</v>
      </c>
      <c r="X91" s="192"/>
      <c r="AH91" s="243" t="s">
        <v>387</v>
      </c>
      <c r="AI91" s="245">
        <v>170</v>
      </c>
      <c r="AJ91" s="245">
        <v>35.39</v>
      </c>
      <c r="AK91" s="245">
        <v>1.97</v>
      </c>
      <c r="AL91" s="245">
        <v>16.2</v>
      </c>
      <c r="AM91" s="245">
        <v>3.54</v>
      </c>
      <c r="AN91" s="245">
        <v>4.3125</v>
      </c>
      <c r="AO91" s="245">
        <v>4.34</v>
      </c>
      <c r="AP91" s="245">
        <v>0.62</v>
      </c>
      <c r="AQ91" s="245">
        <v>33000</v>
      </c>
      <c r="AR91" s="245">
        <v>1870</v>
      </c>
      <c r="AS91" s="245">
        <v>13.9</v>
      </c>
      <c r="AT91" s="245">
        <v>2530</v>
      </c>
      <c r="AU91" s="245">
        <v>312</v>
      </c>
      <c r="AV91" s="245">
        <v>3.86</v>
      </c>
      <c r="AW91" s="245">
        <v>537</v>
      </c>
      <c r="AX91" s="245">
        <v>636000</v>
      </c>
      <c r="AY91" s="246" t="s">
        <v>706</v>
      </c>
    </row>
    <row r="92" spans="1:51" ht="12.75">
      <c r="A92" s="84" t="s">
        <v>178</v>
      </c>
      <c r="B92" s="44"/>
      <c r="C92" s="44"/>
      <c r="D92" s="44"/>
      <c r="E92" s="44"/>
      <c r="F92" s="44"/>
      <c r="G92" s="44"/>
      <c r="H92" s="44"/>
      <c r="I92" s="44"/>
      <c r="J92" s="76"/>
      <c r="N92" s="121" t="s">
        <v>106</v>
      </c>
      <c r="O92" s="79">
        <f>IF($C$16&gt;0,IF($O$15&lt;=65/SQRT($C$12),0.75*$C$12,IF($O$15&lt;=95/SQRT($C$12),$C$12*(1.075-0.005*$F$22/(2*$F$23)*SQRT($C$12)),$O$17*0.6*$C$12)),"N.A.")</f>
        <v>27</v>
      </c>
      <c r="P92" s="156" t="s">
        <v>9</v>
      </c>
      <c r="Q92" s="119" t="str">
        <f>IF($O$15&lt;=65/SQRT($C$12),"Fby = 0.75*Fy",IF($O$15&lt;=95/SQRT($C$12),"Fby = Fy*(1.075-0.005*bf/(2*tf)*SQRT(Fy))","Qs*0.6*Fy"))</f>
        <v>Fby = 0.75*Fy</v>
      </c>
      <c r="R92" s="78"/>
      <c r="X92" s="192"/>
      <c r="AH92" s="243" t="s">
        <v>388</v>
      </c>
      <c r="AI92" s="245">
        <v>154</v>
      </c>
      <c r="AJ92" s="245">
        <v>34.76</v>
      </c>
      <c r="AK92" s="245">
        <v>1.79</v>
      </c>
      <c r="AL92" s="245">
        <v>16.02</v>
      </c>
      <c r="AM92" s="245">
        <v>3.23</v>
      </c>
      <c r="AN92" s="245">
        <v>4</v>
      </c>
      <c r="AO92" s="245">
        <v>4.29</v>
      </c>
      <c r="AP92" s="245">
        <v>0.67</v>
      </c>
      <c r="AQ92" s="245">
        <v>29300</v>
      </c>
      <c r="AR92" s="245">
        <v>1680</v>
      </c>
      <c r="AS92" s="245">
        <v>13.8</v>
      </c>
      <c r="AT92" s="245">
        <v>2230</v>
      </c>
      <c r="AU92" s="245">
        <v>278</v>
      </c>
      <c r="AV92" s="245">
        <v>3.8</v>
      </c>
      <c r="AW92" s="245">
        <v>405</v>
      </c>
      <c r="AX92" s="245">
        <v>550000</v>
      </c>
      <c r="AY92" s="246" t="s">
        <v>707</v>
      </c>
    </row>
    <row r="93" spans="1:54" ht="12.75">
      <c r="A93" s="85" t="s">
        <v>167</v>
      </c>
      <c r="B93" s="164">
        <f>$O$94</f>
        <v>0.27334139493333676</v>
      </c>
      <c r="C93" s="44"/>
      <c r="D93" s="141" t="str">
        <f>$Q$94</f>
        <v>S.R. = fbx/Fbx+fby(total)/Fby</v>
      </c>
      <c r="E93" s="44"/>
      <c r="F93" s="44"/>
      <c r="G93" s="44"/>
      <c r="H93" s="44"/>
      <c r="I93" s="160" t="str">
        <f>IF($C$16&gt;0,IF($B$93&lt;=1,"S.R. &lt;= 1.0,  O.K.","S.R. &gt; 1.0"),"")</f>
        <v>S.R. &lt;= 1.0,  O.K.</v>
      </c>
      <c r="J93" s="76"/>
      <c r="N93" s="143" t="s">
        <v>178</v>
      </c>
      <c r="X93" s="192"/>
      <c r="AH93" s="243" t="s">
        <v>389</v>
      </c>
      <c r="AI93" s="245">
        <v>140</v>
      </c>
      <c r="AJ93" s="245">
        <v>34.21</v>
      </c>
      <c r="AK93" s="245">
        <v>1.63</v>
      </c>
      <c r="AL93" s="247">
        <v>15.865</v>
      </c>
      <c r="AM93" s="245">
        <v>2.95</v>
      </c>
      <c r="AN93" s="245">
        <v>3.75</v>
      </c>
      <c r="AO93" s="245">
        <v>4.24</v>
      </c>
      <c r="AP93" s="245">
        <v>0.73</v>
      </c>
      <c r="AQ93" s="245">
        <v>26100</v>
      </c>
      <c r="AR93" s="245">
        <v>1530</v>
      </c>
      <c r="AS93" s="245">
        <v>13.7</v>
      </c>
      <c r="AT93" s="245">
        <v>1970</v>
      </c>
      <c r="AU93" s="245">
        <v>249</v>
      </c>
      <c r="AV93" s="245">
        <v>3.75</v>
      </c>
      <c r="AW93" s="245">
        <v>307</v>
      </c>
      <c r="AX93" s="245">
        <v>480000</v>
      </c>
      <c r="AY93" s="246" t="s">
        <v>708</v>
      </c>
      <c r="BA93" s="204" t="s">
        <v>225</v>
      </c>
      <c r="BB93" s="205">
        <f>IF($C$16&gt;0,$B$93,"")</f>
        <v>0.27334139493333676</v>
      </c>
    </row>
    <row r="94" spans="1:51" ht="12.75">
      <c r="A94" s="83"/>
      <c r="B94" s="44"/>
      <c r="C94" s="44"/>
      <c r="D94" s="44"/>
      <c r="E94" s="44"/>
      <c r="F94" s="44"/>
      <c r="G94" s="44"/>
      <c r="H94" s="44"/>
      <c r="I94" s="44"/>
      <c r="J94" s="76"/>
      <c r="N94" s="115" t="s">
        <v>167</v>
      </c>
      <c r="O94" s="1">
        <f>IF($C$16&gt;0,$O$71/$O$87+$O$91/$O$92,"N.A.")</f>
        <v>0.27334139493333676</v>
      </c>
      <c r="P94" s="78"/>
      <c r="Q94" s="78" t="s">
        <v>168</v>
      </c>
      <c r="AH94" s="243" t="s">
        <v>390</v>
      </c>
      <c r="AI94" s="245">
        <v>127</v>
      </c>
      <c r="AJ94" s="245">
        <v>33.66</v>
      </c>
      <c r="AK94" s="245">
        <v>1.5</v>
      </c>
      <c r="AL94" s="247">
        <v>15.725</v>
      </c>
      <c r="AM94" s="245">
        <v>2.68</v>
      </c>
      <c r="AN94" s="245">
        <v>3.4375</v>
      </c>
      <c r="AO94" s="245">
        <v>4.2</v>
      </c>
      <c r="AP94" s="245">
        <v>0.8</v>
      </c>
      <c r="AQ94" s="245">
        <v>23200</v>
      </c>
      <c r="AR94" s="245">
        <v>1380</v>
      </c>
      <c r="AS94" s="245">
        <v>13.5</v>
      </c>
      <c r="AT94" s="245">
        <v>1750</v>
      </c>
      <c r="AU94" s="245">
        <v>222</v>
      </c>
      <c r="AV94" s="245">
        <v>3.71</v>
      </c>
      <c r="AW94" s="245">
        <v>231</v>
      </c>
      <c r="AX94" s="245">
        <v>417000</v>
      </c>
      <c r="AY94" s="246" t="s">
        <v>709</v>
      </c>
    </row>
    <row r="95" spans="1:51" ht="12.75">
      <c r="A95" s="84" t="s">
        <v>172</v>
      </c>
      <c r="B95" s="44"/>
      <c r="C95" s="44"/>
      <c r="D95" s="300" t="str">
        <f>$Q$95</f>
        <v>(for Nw = 4 and S &lt; Lo, assume all of Pv without impact at end of overhang)</v>
      </c>
      <c r="E95" s="44"/>
      <c r="F95" s="44"/>
      <c r="G95" s="44"/>
      <c r="H95" s="44"/>
      <c r="I95" s="50"/>
      <c r="J95" s="76"/>
      <c r="N95" s="143" t="s">
        <v>172</v>
      </c>
      <c r="Q95" s="304" t="str">
        <f>IF(AND($C$24=4,$C$25&lt;$C$16),"(for Nw = 4 and S &lt; Lo, assume all of Pv without impact at end of overhang)",IF(AND($C$24=4,$C$25&gt;=$C$16),"(for Nw = 4 and S &gt;= Lo, assume 1/2 of Pv without impact at end of overhang)",IF($C$24=2,"(for Nw = 2, assume Pv without impact at end of overhang)")))</f>
        <v>(for Nw = 4 and S &lt; Lo, assume all of Pv without impact at end of overhang)</v>
      </c>
      <c r="R95" s="140"/>
      <c r="AH95" s="243" t="s">
        <v>391</v>
      </c>
      <c r="AI95" s="244">
        <v>115</v>
      </c>
      <c r="AJ95" s="244">
        <v>33.2</v>
      </c>
      <c r="AK95" s="244">
        <v>1.36</v>
      </c>
      <c r="AL95" s="244">
        <v>15.6</v>
      </c>
      <c r="AM95" s="244">
        <v>2.44</v>
      </c>
      <c r="AN95" s="244">
        <v>3.23</v>
      </c>
      <c r="AO95" s="245">
        <v>4.16</v>
      </c>
      <c r="AP95" s="245">
        <v>0.87</v>
      </c>
      <c r="AQ95" s="244">
        <v>20700</v>
      </c>
      <c r="AR95" s="244">
        <v>1250</v>
      </c>
      <c r="AS95" s="244">
        <v>13.4</v>
      </c>
      <c r="AT95" s="244">
        <v>1550</v>
      </c>
      <c r="AU95" s="244">
        <v>198</v>
      </c>
      <c r="AV95" s="244">
        <v>3.67</v>
      </c>
      <c r="AW95" s="244">
        <v>173</v>
      </c>
      <c r="AX95" s="244">
        <v>366000</v>
      </c>
      <c r="AY95" s="246" t="s">
        <v>710</v>
      </c>
    </row>
    <row r="96" spans="1:51" ht="12.75">
      <c r="A96" s="85" t="s">
        <v>132</v>
      </c>
      <c r="B96" s="26">
        <f>$O$96</f>
        <v>6.5</v>
      </c>
      <c r="C96" s="96" t="s">
        <v>7</v>
      </c>
      <c r="D96" s="44" t="str">
        <f>$Q$96</f>
        <v>Pv = P+Wh+Wt (without vertical impact)</v>
      </c>
      <c r="E96" s="44"/>
      <c r="F96" s="44"/>
      <c r="G96" s="44"/>
      <c r="H96" s="44"/>
      <c r="I96" s="44"/>
      <c r="J96" s="76"/>
      <c r="N96" s="136" t="s">
        <v>132</v>
      </c>
      <c r="O96" s="73">
        <f>IF($C$16&gt;0,($C$19+$C$21+$C$20),"N.A.")</f>
        <v>6.5</v>
      </c>
      <c r="P96" s="155" t="s">
        <v>7</v>
      </c>
      <c r="Q96" s="111" t="s">
        <v>228</v>
      </c>
      <c r="AH96" s="243" t="s">
        <v>392</v>
      </c>
      <c r="AI96" s="244">
        <v>105</v>
      </c>
      <c r="AJ96" s="244">
        <v>32.8</v>
      </c>
      <c r="AK96" s="244">
        <v>1.24</v>
      </c>
      <c r="AL96" s="244">
        <v>15.5</v>
      </c>
      <c r="AM96" s="244">
        <v>2.24</v>
      </c>
      <c r="AN96" s="244">
        <v>3.03</v>
      </c>
      <c r="AO96" s="245">
        <v>4.12</v>
      </c>
      <c r="AP96" s="245">
        <v>0.95</v>
      </c>
      <c r="AQ96" s="244">
        <v>18700</v>
      </c>
      <c r="AR96" s="244">
        <v>1140</v>
      </c>
      <c r="AS96" s="244">
        <v>13.3</v>
      </c>
      <c r="AT96" s="244">
        <v>1390</v>
      </c>
      <c r="AU96" s="244">
        <v>179</v>
      </c>
      <c r="AV96" s="244">
        <v>3.64</v>
      </c>
      <c r="AW96" s="244">
        <v>134</v>
      </c>
      <c r="AX96" s="244">
        <v>325000</v>
      </c>
      <c r="AY96" s="246" t="s">
        <v>711</v>
      </c>
    </row>
    <row r="97" spans="1:51" ht="12.75">
      <c r="A97" s="86" t="s">
        <v>137</v>
      </c>
      <c r="B97" s="211">
        <f>$O$97</f>
        <v>0.055414410441837904</v>
      </c>
      <c r="C97" s="104" t="s">
        <v>8</v>
      </c>
      <c r="D97" s="97" t="s">
        <v>137</v>
      </c>
      <c r="E97" s="104" t="str">
        <f>$R$97</f>
        <v>Pv*Lo^2*(L+Lo)/(3*E*I)+w/12000*Lo*(4*Lo^2*L-L^3+3*Lo^3)/(24*E*I)</v>
      </c>
      <c r="F97" s="44"/>
      <c r="G97" s="44"/>
      <c r="H97" s="44"/>
      <c r="I97" s="44"/>
      <c r="J97" s="76"/>
      <c r="L97" s="142"/>
      <c r="M97" s="142"/>
      <c r="N97" s="144" t="s">
        <v>138</v>
      </c>
      <c r="O97" s="303">
        <f>IF(AND($C$24=4,$C$25&lt;$C$16),$O$96*($C$16*12)^2*($C$13*12+$C$16*12)/(3*29000*$I$20)+$O$4/12000*($C$16*12)*(4*($C$16*12)^2*($C$13*12)-($C$13*12)^3+3*($C$16*12)^3)/(24*29000*$I$20),IF(AND($C$24=4,$C$25&gt;=$C$16),($O$96/2)*($C$16*12)^2*($C$13*12+$C$16*12)/(3*29000*$I$20)+$O$4/12000*($C$16*12)*(4*($C$16*12)^2*($C$13*12)-($C$13*12)^3+3*($C$16*12)^3)/(24*29000*$I$20),IF($C$24=2,$O$96*($C$16*12)^2*($C$13*12+$C$16*12)/(3*29000*$I$20)+$O$4/12000*($C$16*12)*(4*($C$16*12)^2*($C$13*12)-($C$13*12)^3+3*($C$16*12)^3)/(24*29000*$I$20))))</f>
        <v>0.055414410441837904</v>
      </c>
      <c r="P97" s="77" t="s">
        <v>8</v>
      </c>
      <c r="Q97" s="145" t="s">
        <v>138</v>
      </c>
      <c r="R97" s="304" t="str">
        <f>IF(AND($C$24=4,$C$25&lt;$C$16),"Pv*Lo^2*(L+Lo)/(3*E*I)+w/12000*Lo*(4*Lo^2*L-L^3+3*Lo^3)/(24*E*I)",IF(AND($C$24=4,$C$25&gt;=$C$16),"(Pv/2)*Lo^2*(L+Lo)/(3*E*I)+w/12000*Lo*(4*Lo^2*L-L^3+3*Lo^3)/(24*E*I)",IF($C$24=2,"Pv*Lo^2*(L+Lo)/(3*E*I)+w/12000*Lo*(4*Lo^2*L-L^3+3*Lo^3)/(24*E*I)")))</f>
        <v>Pv*Lo^2*(L+Lo)/(3*E*I)+w/12000*Lo*(4*Lo^2*L-L^3+3*Lo^3)/(24*E*I)</v>
      </c>
      <c r="AH97" s="243" t="s">
        <v>393</v>
      </c>
      <c r="AI97" s="244">
        <v>95.8</v>
      </c>
      <c r="AJ97" s="244">
        <v>32.4</v>
      </c>
      <c r="AK97" s="244">
        <v>1.14</v>
      </c>
      <c r="AL97" s="244">
        <v>15.4</v>
      </c>
      <c r="AM97" s="244">
        <v>2.05</v>
      </c>
      <c r="AN97" s="244">
        <v>2.84</v>
      </c>
      <c r="AO97" s="245">
        <v>4.09</v>
      </c>
      <c r="AP97" s="245">
        <v>1.03</v>
      </c>
      <c r="AQ97" s="244">
        <v>16800</v>
      </c>
      <c r="AR97" s="244">
        <v>1040</v>
      </c>
      <c r="AS97" s="244">
        <v>13.2</v>
      </c>
      <c r="AT97" s="244">
        <v>1240</v>
      </c>
      <c r="AU97" s="244">
        <v>162</v>
      </c>
      <c r="AV97" s="244">
        <v>3.6</v>
      </c>
      <c r="AW97" s="244">
        <v>103</v>
      </c>
      <c r="AX97" s="244">
        <v>286000</v>
      </c>
      <c r="AY97" s="246" t="s">
        <v>712</v>
      </c>
    </row>
    <row r="98" spans="1:51" ht="12.75">
      <c r="A98" s="146" t="s">
        <v>141</v>
      </c>
      <c r="B98" s="174" t="str">
        <f>$O$98</f>
        <v>L/650</v>
      </c>
      <c r="C98" s="104"/>
      <c r="D98" s="147" t="s">
        <v>176</v>
      </c>
      <c r="E98" s="44"/>
      <c r="F98" s="44"/>
      <c r="G98" s="44"/>
      <c r="H98" s="44"/>
      <c r="I98" s="44"/>
      <c r="J98" s="76"/>
      <c r="N98" s="144" t="s">
        <v>139</v>
      </c>
      <c r="O98" s="70" t="str">
        <f>IF($C$16&gt;0,"L/"&amp;ROUND($C$16*12/ABS($O$97),0),"N.A.")</f>
        <v>L/650</v>
      </c>
      <c r="Q98" s="145" t="s">
        <v>173</v>
      </c>
      <c r="AH98" s="243" t="s">
        <v>394</v>
      </c>
      <c r="AI98" s="244">
        <v>85.9</v>
      </c>
      <c r="AJ98" s="244">
        <v>32</v>
      </c>
      <c r="AK98" s="244">
        <v>1.02</v>
      </c>
      <c r="AL98" s="244">
        <v>15.3</v>
      </c>
      <c r="AM98" s="244">
        <v>1.85</v>
      </c>
      <c r="AN98" s="244">
        <v>2.64</v>
      </c>
      <c r="AO98" s="245">
        <v>4.06</v>
      </c>
      <c r="AP98" s="245">
        <v>1.13</v>
      </c>
      <c r="AQ98" s="244">
        <v>14900</v>
      </c>
      <c r="AR98" s="244">
        <v>930</v>
      </c>
      <c r="AS98" s="244">
        <v>13.2</v>
      </c>
      <c r="AT98" s="244">
        <v>1100</v>
      </c>
      <c r="AU98" s="244">
        <v>144</v>
      </c>
      <c r="AV98" s="244">
        <v>3.58</v>
      </c>
      <c r="AW98" s="244">
        <v>75.2</v>
      </c>
      <c r="AX98" s="244">
        <v>250000</v>
      </c>
      <c r="AY98" s="246" t="s">
        <v>713</v>
      </c>
    </row>
    <row r="99" spans="1:54" ht="12.75">
      <c r="A99" s="146" t="s">
        <v>215</v>
      </c>
      <c r="B99" s="190">
        <f>$O$99</f>
        <v>0.08</v>
      </c>
      <c r="C99" s="104" t="s">
        <v>8</v>
      </c>
      <c r="D99" s="147" t="s">
        <v>218</v>
      </c>
      <c r="E99" s="44"/>
      <c r="F99" s="44"/>
      <c r="G99" s="44"/>
      <c r="H99" s="44"/>
      <c r="I99" s="44"/>
      <c r="J99" s="206" t="str">
        <f>IF($C$16&gt;0,IF($B$97&lt;=$B$99,"Defl.(max) &lt;= Defl.(allow),  O.K.  ","Defl.(max) &gt; Defl.(allow)  "),"")</f>
        <v>Defl.(max) &lt;= Defl.(allow),  O.K.  </v>
      </c>
      <c r="N99" s="144" t="s">
        <v>210</v>
      </c>
      <c r="O99" s="142">
        <f>IF($C$16&gt;0,$C$16*12/450,"N.A.")</f>
        <v>0.08</v>
      </c>
      <c r="P99" s="77" t="s">
        <v>8</v>
      </c>
      <c r="Q99" s="145" t="s">
        <v>217</v>
      </c>
      <c r="AH99" s="243" t="s">
        <v>395</v>
      </c>
      <c r="AI99" s="244">
        <v>76.9</v>
      </c>
      <c r="AJ99" s="244">
        <v>31.6</v>
      </c>
      <c r="AK99" s="244">
        <v>0.93</v>
      </c>
      <c r="AL99" s="244">
        <v>15.2</v>
      </c>
      <c r="AM99" s="244">
        <v>1.65</v>
      </c>
      <c r="AN99" s="244">
        <v>2.44</v>
      </c>
      <c r="AO99" s="245">
        <v>4.02</v>
      </c>
      <c r="AP99" s="245">
        <v>1.26</v>
      </c>
      <c r="AQ99" s="244">
        <v>13100</v>
      </c>
      <c r="AR99" s="244">
        <v>829</v>
      </c>
      <c r="AS99" s="244">
        <v>13.1</v>
      </c>
      <c r="AT99" s="244">
        <v>959</v>
      </c>
      <c r="AU99" s="244">
        <v>127</v>
      </c>
      <c r="AV99" s="244">
        <v>3.53</v>
      </c>
      <c r="AW99" s="244">
        <v>54.1</v>
      </c>
      <c r="AX99" s="244">
        <v>215000</v>
      </c>
      <c r="AY99" s="246" t="s">
        <v>714</v>
      </c>
      <c r="BA99" s="204" t="s">
        <v>225</v>
      </c>
      <c r="BB99" s="205">
        <f>IF($C$16&gt;0,$B$97/$B$99,"")</f>
        <v>0.6926801305229738</v>
      </c>
    </row>
    <row r="100" spans="1:51" ht="12.75">
      <c r="A100" s="83"/>
      <c r="B100" s="44"/>
      <c r="C100" s="44"/>
      <c r="D100" s="157"/>
      <c r="E100" s="157"/>
      <c r="F100" s="44"/>
      <c r="G100" s="44"/>
      <c r="H100" s="44"/>
      <c r="I100" s="44"/>
      <c r="J100" s="76"/>
      <c r="Q100" s="111" t="s">
        <v>221</v>
      </c>
      <c r="R100" s="111"/>
      <c r="AH100" s="243" t="s">
        <v>396</v>
      </c>
      <c r="AI100" s="244">
        <v>69.2</v>
      </c>
      <c r="AJ100" s="244">
        <v>31.3</v>
      </c>
      <c r="AK100" s="244">
        <v>0.83</v>
      </c>
      <c r="AL100" s="244">
        <v>15.1</v>
      </c>
      <c r="AM100" s="244">
        <v>1.5</v>
      </c>
      <c r="AN100" s="244">
        <v>2.29</v>
      </c>
      <c r="AO100" s="245">
        <v>4</v>
      </c>
      <c r="AP100" s="245">
        <v>1.39</v>
      </c>
      <c r="AQ100" s="244">
        <v>11700</v>
      </c>
      <c r="AR100" s="244">
        <v>748</v>
      </c>
      <c r="AS100" s="244">
        <v>13</v>
      </c>
      <c r="AT100" s="244">
        <v>855</v>
      </c>
      <c r="AU100" s="244">
        <v>114</v>
      </c>
      <c r="AV100" s="244">
        <v>3.51</v>
      </c>
      <c r="AW100" s="244">
        <v>40.3</v>
      </c>
      <c r="AX100" s="244">
        <v>190000</v>
      </c>
      <c r="AY100" s="246" t="s">
        <v>656</v>
      </c>
    </row>
    <row r="101" spans="1:51" ht="12.75">
      <c r="A101" s="175" t="s">
        <v>935</v>
      </c>
      <c r="B101" s="165"/>
      <c r="C101" s="120"/>
      <c r="D101" s="120"/>
      <c r="E101" s="157"/>
      <c r="F101" s="44"/>
      <c r="G101" s="44"/>
      <c r="H101" s="44"/>
      <c r="I101" s="44"/>
      <c r="J101" s="76"/>
      <c r="N101" s="114" t="s">
        <v>935</v>
      </c>
      <c r="O101" s="72"/>
      <c r="P101" s="169"/>
      <c r="Q101" s="170"/>
      <c r="AH101" s="243" t="s">
        <v>397</v>
      </c>
      <c r="AI101" s="244">
        <v>62.2</v>
      </c>
      <c r="AJ101" s="244">
        <v>30.9</v>
      </c>
      <c r="AK101" s="244">
        <v>0.775</v>
      </c>
      <c r="AL101" s="244">
        <v>15.1</v>
      </c>
      <c r="AM101" s="244">
        <v>1.32</v>
      </c>
      <c r="AN101" s="244">
        <v>2.1</v>
      </c>
      <c r="AO101" s="245">
        <v>3.99</v>
      </c>
      <c r="AP101" s="245">
        <v>1.56</v>
      </c>
      <c r="AQ101" s="244">
        <v>10300</v>
      </c>
      <c r="AR101" s="244">
        <v>665</v>
      </c>
      <c r="AS101" s="244">
        <v>12.9</v>
      </c>
      <c r="AT101" s="244">
        <v>757</v>
      </c>
      <c r="AU101" s="244">
        <v>100</v>
      </c>
      <c r="AV101" s="244">
        <v>3.49</v>
      </c>
      <c r="AW101" s="244">
        <v>28.4</v>
      </c>
      <c r="AX101" s="244">
        <v>166000</v>
      </c>
      <c r="AY101" s="246" t="s">
        <v>659</v>
      </c>
    </row>
    <row r="102" spans="1:51" ht="12.75">
      <c r="A102" s="159" t="s">
        <v>197</v>
      </c>
      <c r="B102" s="26">
        <f>$O$102</f>
        <v>7.68</v>
      </c>
      <c r="C102" s="173" t="s">
        <v>8</v>
      </c>
      <c r="D102" s="141" t="str">
        <f>$Q$102</f>
        <v>Min. of: be = 12*tf  or  S*12 (effective flange bending length)</v>
      </c>
      <c r="E102" s="157"/>
      <c r="F102" s="44"/>
      <c r="G102" s="44"/>
      <c r="H102" s="44"/>
      <c r="I102" s="44"/>
      <c r="J102" s="76"/>
      <c r="N102" s="115" t="s">
        <v>197</v>
      </c>
      <c r="O102" s="1">
        <f>IF($C$24=2,12*$F$23,IF($C$24=4,MIN(12*$F$23,$C$25*12)))</f>
        <v>7.68</v>
      </c>
      <c r="P102" s="78" t="s">
        <v>8</v>
      </c>
      <c r="Q102" s="123" t="str">
        <f>IF($C$24=2,"be = 12*tf",IF($C$24=4,"Min. of: be = 12*tf  or  S*12"))&amp;" (effective flange bending length)"</f>
        <v>Min. of: be = 12*tf  or  S*12 (effective flange bending length)</v>
      </c>
      <c r="R102" s="78"/>
      <c r="S102" s="78"/>
      <c r="T102" s="78"/>
      <c r="AH102" s="243" t="s">
        <v>398</v>
      </c>
      <c r="AI102" s="244">
        <v>56.3</v>
      </c>
      <c r="AJ102" s="244">
        <v>30.7</v>
      </c>
      <c r="AK102" s="244">
        <v>0.71</v>
      </c>
      <c r="AL102" s="244">
        <v>15</v>
      </c>
      <c r="AM102" s="244">
        <v>1.19</v>
      </c>
      <c r="AN102" s="244">
        <v>1.97</v>
      </c>
      <c r="AO102" s="245">
        <v>3.97</v>
      </c>
      <c r="AP102" s="245">
        <v>1.72</v>
      </c>
      <c r="AQ102" s="244">
        <v>9200</v>
      </c>
      <c r="AR102" s="244">
        <v>600</v>
      </c>
      <c r="AS102" s="244">
        <v>12.8</v>
      </c>
      <c r="AT102" s="244">
        <v>673</v>
      </c>
      <c r="AU102" s="244">
        <v>89.5</v>
      </c>
      <c r="AV102" s="244">
        <v>3.46</v>
      </c>
      <c r="AW102" s="244">
        <v>21</v>
      </c>
      <c r="AX102" s="244">
        <v>146000</v>
      </c>
      <c r="AY102" s="246" t="s">
        <v>715</v>
      </c>
    </row>
    <row r="103" spans="1:51" ht="12.75">
      <c r="A103" s="159" t="s">
        <v>200</v>
      </c>
      <c r="B103" s="27">
        <f>$O$104</f>
        <v>3.355</v>
      </c>
      <c r="C103" s="173" t="s">
        <v>8</v>
      </c>
      <c r="D103" s="141" t="str">
        <f>$Q$104</f>
        <v>am = (bf/2-tw/2)-(k-tf)  (where: k-tf = radius of fillet)</v>
      </c>
      <c r="E103" s="157"/>
      <c r="F103" s="44"/>
      <c r="G103" s="44"/>
      <c r="H103" s="44"/>
      <c r="I103" s="44"/>
      <c r="J103" s="76"/>
      <c r="N103" s="115" t="s">
        <v>240</v>
      </c>
      <c r="O103" s="1">
        <f>$F$23</f>
        <v>0.64</v>
      </c>
      <c r="P103" s="78" t="s">
        <v>8</v>
      </c>
      <c r="Q103" s="123" t="s">
        <v>932</v>
      </c>
      <c r="R103" s="78"/>
      <c r="S103" s="78"/>
      <c r="T103" s="78"/>
      <c r="AH103" s="243" t="s">
        <v>399</v>
      </c>
      <c r="AI103" s="244">
        <v>51</v>
      </c>
      <c r="AJ103" s="244">
        <v>30.4</v>
      </c>
      <c r="AK103" s="244">
        <v>0.655</v>
      </c>
      <c r="AL103" s="244">
        <v>15</v>
      </c>
      <c r="AM103" s="244">
        <v>1.07</v>
      </c>
      <c r="AN103" s="244">
        <v>1.85</v>
      </c>
      <c r="AO103" s="245">
        <v>3.94</v>
      </c>
      <c r="AP103" s="245">
        <v>1.91</v>
      </c>
      <c r="AQ103" s="244">
        <v>8230</v>
      </c>
      <c r="AR103" s="244">
        <v>541</v>
      </c>
      <c r="AS103" s="244">
        <v>12.7</v>
      </c>
      <c r="AT103" s="244">
        <v>598</v>
      </c>
      <c r="AU103" s="244">
        <v>79.8</v>
      </c>
      <c r="AV103" s="244">
        <v>3.42</v>
      </c>
      <c r="AW103" s="244">
        <v>15.6</v>
      </c>
      <c r="AX103" s="244">
        <v>129000</v>
      </c>
      <c r="AY103" s="246" t="s">
        <v>716</v>
      </c>
    </row>
    <row r="104" spans="1:51" ht="12.75">
      <c r="A104" s="159" t="s">
        <v>202</v>
      </c>
      <c r="B104" s="27">
        <f>$O$105</f>
        <v>5.513</v>
      </c>
      <c r="C104" s="191" t="s">
        <v>186</v>
      </c>
      <c r="D104" s="141" t="str">
        <f>$Q$105</f>
        <v>Mf = Pw*(am-a)</v>
      </c>
      <c r="E104" s="157"/>
      <c r="F104" s="44"/>
      <c r="G104" s="44"/>
      <c r="H104" s="44"/>
      <c r="I104" s="44"/>
      <c r="J104" s="76"/>
      <c r="N104" s="115" t="s">
        <v>200</v>
      </c>
      <c r="O104" s="1">
        <f>($F$22/2-$F$21/2)-($F$24-$O$103)</f>
        <v>3.355</v>
      </c>
      <c r="P104" s="78" t="s">
        <v>8</v>
      </c>
      <c r="Q104" s="123" t="s">
        <v>931</v>
      </c>
      <c r="R104" s="78"/>
      <c r="S104" s="78"/>
      <c r="T104" s="78"/>
      <c r="AH104" s="243" t="s">
        <v>400</v>
      </c>
      <c r="AI104" s="244">
        <v>43.5</v>
      </c>
      <c r="AJ104" s="244">
        <v>30.7</v>
      </c>
      <c r="AK104" s="244">
        <v>0.65</v>
      </c>
      <c r="AL104" s="244">
        <v>10.5</v>
      </c>
      <c r="AM104" s="244">
        <v>1.18</v>
      </c>
      <c r="AN104" s="244">
        <v>1.83</v>
      </c>
      <c r="AO104" s="245">
        <v>2.7</v>
      </c>
      <c r="AP104" s="245">
        <v>2.48</v>
      </c>
      <c r="AQ104" s="244">
        <v>6680</v>
      </c>
      <c r="AR104" s="244">
        <v>436</v>
      </c>
      <c r="AS104" s="244">
        <v>12.4</v>
      </c>
      <c r="AT104" s="244">
        <v>227</v>
      </c>
      <c r="AU104" s="244">
        <v>43.3</v>
      </c>
      <c r="AV104" s="244">
        <v>2.28</v>
      </c>
      <c r="AW104" s="244">
        <v>14.5</v>
      </c>
      <c r="AX104" s="244">
        <v>49400</v>
      </c>
      <c r="AY104" s="246" t="s">
        <v>717</v>
      </c>
    </row>
    <row r="105" spans="1:51" ht="12.75">
      <c r="A105" s="159" t="s">
        <v>201</v>
      </c>
      <c r="B105" s="27">
        <f>$O$106</f>
        <v>0.524288</v>
      </c>
      <c r="C105" s="191" t="s">
        <v>16</v>
      </c>
      <c r="D105" s="141" t="str">
        <f>$Q$106</f>
        <v>Sf = be*tf^2/6</v>
      </c>
      <c r="E105" s="157"/>
      <c r="F105" s="44"/>
      <c r="G105" s="44"/>
      <c r="H105" s="44"/>
      <c r="I105" s="44"/>
      <c r="J105" s="76"/>
      <c r="N105" s="115" t="s">
        <v>202</v>
      </c>
      <c r="O105" s="1">
        <f>$B$32*($O$104-$C$26)</f>
        <v>5.513</v>
      </c>
      <c r="P105" s="123" t="s">
        <v>186</v>
      </c>
      <c r="Q105" s="123" t="s">
        <v>977</v>
      </c>
      <c r="R105" s="78"/>
      <c r="S105" s="78"/>
      <c r="T105" s="78"/>
      <c r="AH105" s="243" t="s">
        <v>401</v>
      </c>
      <c r="AI105" s="244">
        <v>38.9</v>
      </c>
      <c r="AJ105" s="244">
        <v>30.3</v>
      </c>
      <c r="AK105" s="244">
        <v>0.615</v>
      </c>
      <c r="AL105" s="244">
        <v>10.5</v>
      </c>
      <c r="AM105" s="244">
        <v>1</v>
      </c>
      <c r="AN105" s="244">
        <v>1.65</v>
      </c>
      <c r="AO105" s="245">
        <v>2.68</v>
      </c>
      <c r="AP105" s="245">
        <v>2.87</v>
      </c>
      <c r="AQ105" s="244">
        <v>5770</v>
      </c>
      <c r="AR105" s="244">
        <v>380</v>
      </c>
      <c r="AS105" s="244">
        <v>12.2</v>
      </c>
      <c r="AT105" s="244">
        <v>196</v>
      </c>
      <c r="AU105" s="244">
        <v>37.2</v>
      </c>
      <c r="AV105" s="244">
        <v>2.25</v>
      </c>
      <c r="AW105" s="244">
        <v>9.72</v>
      </c>
      <c r="AX105" s="244">
        <v>42100</v>
      </c>
      <c r="AY105" s="246" t="s">
        <v>718</v>
      </c>
    </row>
    <row r="106" spans="1:51" ht="12.75">
      <c r="A106" s="159" t="s">
        <v>205</v>
      </c>
      <c r="B106" s="17">
        <f>$O$107</f>
        <v>10.515213012695312</v>
      </c>
      <c r="C106" s="191" t="s">
        <v>9</v>
      </c>
      <c r="D106" s="141" t="str">
        <f>$Q$107</f>
        <v>fb = Mf/Sf</v>
      </c>
      <c r="E106" s="157"/>
      <c r="F106" s="44"/>
      <c r="G106" s="44"/>
      <c r="H106" s="50"/>
      <c r="I106" s="44"/>
      <c r="J106" s="76"/>
      <c r="N106" s="115" t="s">
        <v>201</v>
      </c>
      <c r="O106" s="1">
        <f>$O$102*$F$23^2/6</f>
        <v>0.524288</v>
      </c>
      <c r="P106" s="123" t="s">
        <v>16</v>
      </c>
      <c r="Q106" s="123" t="s">
        <v>203</v>
      </c>
      <c r="R106" s="78"/>
      <c r="S106" s="78"/>
      <c r="T106" s="78"/>
      <c r="AH106" s="243" t="s">
        <v>402</v>
      </c>
      <c r="AI106" s="244">
        <v>36.5</v>
      </c>
      <c r="AJ106" s="244">
        <v>30.2</v>
      </c>
      <c r="AK106" s="244">
        <v>0.585</v>
      </c>
      <c r="AL106" s="244">
        <v>10.5</v>
      </c>
      <c r="AM106" s="244">
        <v>0.93</v>
      </c>
      <c r="AN106" s="244">
        <v>1.58</v>
      </c>
      <c r="AO106" s="245">
        <v>2.66</v>
      </c>
      <c r="AP106" s="245">
        <v>3.09</v>
      </c>
      <c r="AQ106" s="244">
        <v>5360</v>
      </c>
      <c r="AR106" s="244">
        <v>355</v>
      </c>
      <c r="AS106" s="244">
        <v>12.1</v>
      </c>
      <c r="AT106" s="244">
        <v>181</v>
      </c>
      <c r="AU106" s="244">
        <v>34.4</v>
      </c>
      <c r="AV106" s="244">
        <v>2.23</v>
      </c>
      <c r="AW106" s="244">
        <v>7.99</v>
      </c>
      <c r="AX106" s="244">
        <v>38700</v>
      </c>
      <c r="AY106" s="246" t="s">
        <v>719</v>
      </c>
    </row>
    <row r="107" spans="1:54" ht="12.75">
      <c r="A107" s="159" t="s">
        <v>204</v>
      </c>
      <c r="B107" s="16">
        <f>$O$108</f>
        <v>27</v>
      </c>
      <c r="C107" s="191" t="s">
        <v>9</v>
      </c>
      <c r="D107" s="141" t="str">
        <f>$Q$108</f>
        <v>Fb = 0.75*Fy</v>
      </c>
      <c r="E107" s="157"/>
      <c r="F107" s="44"/>
      <c r="G107" s="44"/>
      <c r="H107" s="44"/>
      <c r="I107" s="44"/>
      <c r="J107" s="206" t="str">
        <f>IF($B$106&lt;=$B$107,"fb &lt;= Fb,  O.K.  ","fb &gt; Fb  ")</f>
        <v>fb &lt;= Fb,  O.K.  </v>
      </c>
      <c r="N107" s="115" t="s">
        <v>205</v>
      </c>
      <c r="O107" s="75">
        <f>$O$105/$O$106</f>
        <v>10.515213012695312</v>
      </c>
      <c r="P107" s="123" t="s">
        <v>9</v>
      </c>
      <c r="Q107" s="123" t="s">
        <v>207</v>
      </c>
      <c r="R107" s="78"/>
      <c r="S107" s="78"/>
      <c r="T107" s="78"/>
      <c r="AH107" s="243" t="s">
        <v>403</v>
      </c>
      <c r="AI107" s="244">
        <v>34.2</v>
      </c>
      <c r="AJ107" s="244">
        <v>30</v>
      </c>
      <c r="AK107" s="244">
        <v>0.565</v>
      </c>
      <c r="AL107" s="244">
        <v>10.5</v>
      </c>
      <c r="AM107" s="244">
        <v>0.85</v>
      </c>
      <c r="AN107" s="244">
        <v>1.5</v>
      </c>
      <c r="AO107" s="245">
        <v>2.64</v>
      </c>
      <c r="AP107" s="245">
        <v>3.36</v>
      </c>
      <c r="AQ107" s="244">
        <v>4930</v>
      </c>
      <c r="AR107" s="244">
        <v>329</v>
      </c>
      <c r="AS107" s="244">
        <v>12</v>
      </c>
      <c r="AT107" s="244">
        <v>164</v>
      </c>
      <c r="AU107" s="244">
        <v>31.3</v>
      </c>
      <c r="AV107" s="244">
        <v>2.19</v>
      </c>
      <c r="AW107" s="244">
        <v>6.43</v>
      </c>
      <c r="AX107" s="244">
        <v>34900</v>
      </c>
      <c r="AY107" s="246" t="s">
        <v>720</v>
      </c>
      <c r="BA107" s="204" t="s">
        <v>225</v>
      </c>
      <c r="BB107" s="205">
        <f>$B$106/$B$107</f>
        <v>0.3894523338035301</v>
      </c>
    </row>
    <row r="108" spans="1:51" ht="12.75">
      <c r="A108" s="83"/>
      <c r="B108" s="44"/>
      <c r="C108" s="44"/>
      <c r="D108" s="44"/>
      <c r="E108" s="44"/>
      <c r="F108" s="44"/>
      <c r="G108" s="44"/>
      <c r="H108" s="44"/>
      <c r="I108" s="44"/>
      <c r="J108" s="76"/>
      <c r="N108" s="115" t="s">
        <v>204</v>
      </c>
      <c r="O108" s="75">
        <f>0.75*$C$12</f>
        <v>27</v>
      </c>
      <c r="P108" s="123" t="s">
        <v>9</v>
      </c>
      <c r="Q108" s="123" t="s">
        <v>206</v>
      </c>
      <c r="R108" s="78"/>
      <c r="S108" s="78"/>
      <c r="T108" s="78"/>
      <c r="AH108" s="243" t="s">
        <v>404</v>
      </c>
      <c r="AI108" s="244">
        <v>31.7</v>
      </c>
      <c r="AJ108" s="244">
        <v>29.8</v>
      </c>
      <c r="AK108" s="244">
        <v>0.545</v>
      </c>
      <c r="AL108" s="244">
        <v>10.5</v>
      </c>
      <c r="AM108" s="244">
        <v>0.76</v>
      </c>
      <c r="AN108" s="244">
        <v>1.41</v>
      </c>
      <c r="AO108" s="245">
        <v>2.61</v>
      </c>
      <c r="AP108" s="245">
        <v>3.75</v>
      </c>
      <c r="AQ108" s="244">
        <v>4470</v>
      </c>
      <c r="AR108" s="244">
        <v>299</v>
      </c>
      <c r="AS108" s="244">
        <v>11.9</v>
      </c>
      <c r="AT108" s="244">
        <v>146</v>
      </c>
      <c r="AU108" s="244">
        <v>27.9</v>
      </c>
      <c r="AV108" s="244">
        <v>2.15</v>
      </c>
      <c r="AW108" s="244">
        <v>4.99</v>
      </c>
      <c r="AX108" s="244">
        <v>30800</v>
      </c>
      <c r="AY108" s="246" t="s">
        <v>721</v>
      </c>
    </row>
    <row r="109" spans="1:51" ht="12.75">
      <c r="A109" s="83"/>
      <c r="B109" s="44"/>
      <c r="C109" s="44"/>
      <c r="D109" s="44"/>
      <c r="E109" s="44"/>
      <c r="F109" s="44"/>
      <c r="G109" s="44"/>
      <c r="H109" s="44"/>
      <c r="I109" s="44"/>
      <c r="J109" s="76"/>
      <c r="N109" s="171" t="s">
        <v>934</v>
      </c>
      <c r="O109" s="72"/>
      <c r="P109" s="123"/>
      <c r="Q109" s="123"/>
      <c r="R109" s="78"/>
      <c r="S109" s="78"/>
      <c r="T109" s="111" t="s">
        <v>247</v>
      </c>
      <c r="AH109" s="243" t="s">
        <v>405</v>
      </c>
      <c r="AI109" s="244">
        <v>29.1</v>
      </c>
      <c r="AJ109" s="244">
        <v>29.7</v>
      </c>
      <c r="AK109" s="244">
        <v>0.52</v>
      </c>
      <c r="AL109" s="244">
        <v>10.5</v>
      </c>
      <c r="AM109" s="244">
        <v>0.67</v>
      </c>
      <c r="AN109" s="244">
        <v>1.32</v>
      </c>
      <c r="AO109" s="245">
        <v>2.57</v>
      </c>
      <c r="AP109" s="245">
        <v>4.23</v>
      </c>
      <c r="AQ109" s="244">
        <v>3990</v>
      </c>
      <c r="AR109" s="244">
        <v>269</v>
      </c>
      <c r="AS109" s="244">
        <v>11.7</v>
      </c>
      <c r="AT109" s="244">
        <v>128</v>
      </c>
      <c r="AU109" s="244">
        <v>24.5</v>
      </c>
      <c r="AV109" s="244">
        <v>2.1</v>
      </c>
      <c r="AW109" s="244">
        <v>3.77</v>
      </c>
      <c r="AX109" s="244">
        <v>26900</v>
      </c>
      <c r="AY109" s="246" t="s">
        <v>722</v>
      </c>
    </row>
    <row r="110" spans="1:51" ht="12.75">
      <c r="A110" s="215"/>
      <c r="B110" s="216"/>
      <c r="C110" s="216"/>
      <c r="D110" s="216"/>
      <c r="E110" s="216"/>
      <c r="F110" s="216"/>
      <c r="G110" s="216"/>
      <c r="H110" s="216"/>
      <c r="I110" s="216"/>
      <c r="J110" s="102" t="s">
        <v>85</v>
      </c>
      <c r="N110" s="155" t="s">
        <v>86</v>
      </c>
      <c r="O110" s="111"/>
      <c r="P110" s="71"/>
      <c r="Q110" s="136"/>
      <c r="R110" s="137"/>
      <c r="T110" s="229" t="s">
        <v>285</v>
      </c>
      <c r="AH110" s="243" t="s">
        <v>406</v>
      </c>
      <c r="AI110" s="244">
        <v>26.4</v>
      </c>
      <c r="AJ110" s="244">
        <v>29.5</v>
      </c>
      <c r="AK110" s="244">
        <v>0.47</v>
      </c>
      <c r="AL110" s="244">
        <v>10.4</v>
      </c>
      <c r="AM110" s="244">
        <v>0.61</v>
      </c>
      <c r="AN110" s="244">
        <v>1.26</v>
      </c>
      <c r="AO110" s="245">
        <v>2.56</v>
      </c>
      <c r="AP110" s="245">
        <v>4.65</v>
      </c>
      <c r="AQ110" s="244">
        <v>3610</v>
      </c>
      <c r="AR110" s="244">
        <v>245</v>
      </c>
      <c r="AS110" s="244">
        <v>11.7</v>
      </c>
      <c r="AT110" s="244">
        <v>115</v>
      </c>
      <c r="AU110" s="244">
        <v>22.1</v>
      </c>
      <c r="AV110" s="244">
        <v>2.09</v>
      </c>
      <c r="AW110" s="244">
        <v>2.84</v>
      </c>
      <c r="AX110" s="244">
        <v>24000</v>
      </c>
      <c r="AY110" s="246" t="s">
        <v>723</v>
      </c>
    </row>
    <row r="111" spans="1:51" ht="12.75">
      <c r="A111" s="99"/>
      <c r="B111" s="100"/>
      <c r="C111" s="100"/>
      <c r="D111" s="100"/>
      <c r="E111" s="100"/>
      <c r="F111" s="100"/>
      <c r="G111" s="100"/>
      <c r="H111" s="100"/>
      <c r="I111" s="100"/>
      <c r="J111" s="101"/>
      <c r="N111" s="138" t="s">
        <v>143</v>
      </c>
      <c r="O111" s="74">
        <f>$O$10*$O$6/O8^2</f>
        <v>-8.59663016650232</v>
      </c>
      <c r="P111" s="155" t="s">
        <v>9</v>
      </c>
      <c r="Q111" s="139" t="s">
        <v>249</v>
      </c>
      <c r="R111" s="111"/>
      <c r="AH111" s="243" t="s">
        <v>407</v>
      </c>
      <c r="AI111" s="244">
        <v>159</v>
      </c>
      <c r="AJ111" s="244">
        <v>32.5</v>
      </c>
      <c r="AK111" s="244">
        <v>1.97</v>
      </c>
      <c r="AL111" s="244">
        <v>15.3</v>
      </c>
      <c r="AM111" s="244">
        <v>3.54</v>
      </c>
      <c r="AN111" s="244">
        <v>4.33</v>
      </c>
      <c r="AO111" s="245">
        <v>4.1</v>
      </c>
      <c r="AP111" s="245">
        <v>0.6</v>
      </c>
      <c r="AQ111" s="244">
        <v>25600</v>
      </c>
      <c r="AR111" s="244">
        <v>1570</v>
      </c>
      <c r="AS111" s="244">
        <v>12.7</v>
      </c>
      <c r="AT111" s="244">
        <v>2110</v>
      </c>
      <c r="AU111" s="244">
        <v>277</v>
      </c>
      <c r="AV111" s="244">
        <v>3.65</v>
      </c>
      <c r="AW111" s="244">
        <v>496</v>
      </c>
      <c r="AX111" s="244">
        <v>443000</v>
      </c>
      <c r="AY111" s="246" t="s">
        <v>724</v>
      </c>
    </row>
    <row r="112" spans="1:51" ht="12.75">
      <c r="A112" s="176" t="s">
        <v>934</v>
      </c>
      <c r="B112" s="44"/>
      <c r="C112" s="44"/>
      <c r="D112" s="44"/>
      <c r="E112" s="44"/>
      <c r="F112" s="44"/>
      <c r="G112" s="210" t="s">
        <v>247</v>
      </c>
      <c r="H112" s="44"/>
      <c r="I112" s="44"/>
      <c r="J112" s="76"/>
      <c r="N112" s="138" t="s">
        <v>248</v>
      </c>
      <c r="O112" s="74">
        <f>$O$12*$O$6/$O$8^2</f>
        <v>0.8672888093069673</v>
      </c>
      <c r="P112" s="155" t="s">
        <v>9</v>
      </c>
      <c r="Q112" s="139" t="s">
        <v>250</v>
      </c>
      <c r="R112" s="111"/>
      <c r="AH112" s="243" t="s">
        <v>408</v>
      </c>
      <c r="AI112" s="245">
        <v>145</v>
      </c>
      <c r="AJ112" s="245">
        <v>31.97</v>
      </c>
      <c r="AK112" s="245">
        <v>1.81</v>
      </c>
      <c r="AL112" s="247">
        <v>15.095</v>
      </c>
      <c r="AM112" s="245">
        <v>3.27</v>
      </c>
      <c r="AN112" s="245">
        <v>4</v>
      </c>
      <c r="AO112" s="245">
        <v>4.05</v>
      </c>
      <c r="AP112" s="245">
        <v>0.65</v>
      </c>
      <c r="AQ112" s="245">
        <v>22900</v>
      </c>
      <c r="AR112" s="245">
        <v>1440</v>
      </c>
      <c r="AS112" s="245">
        <v>12.6</v>
      </c>
      <c r="AT112" s="245">
        <v>1890</v>
      </c>
      <c r="AU112" s="245">
        <v>250</v>
      </c>
      <c r="AV112" s="245">
        <v>3.61</v>
      </c>
      <c r="AW112" s="245">
        <v>391</v>
      </c>
      <c r="AX112" s="245">
        <v>386000</v>
      </c>
      <c r="AY112" s="246" t="s">
        <v>725</v>
      </c>
    </row>
    <row r="113" spans="1:51" ht="12.75">
      <c r="A113" s="83"/>
      <c r="B113" s="44"/>
      <c r="C113" s="44"/>
      <c r="D113" s="44"/>
      <c r="E113" s="44"/>
      <c r="F113" s="44"/>
      <c r="G113" s="44"/>
      <c r="H113" s="44"/>
      <c r="I113" s="44"/>
      <c r="J113" s="76"/>
      <c r="N113" s="155" t="s">
        <v>87</v>
      </c>
      <c r="O113" s="111"/>
      <c r="P113" s="71"/>
      <c r="Q113" s="136"/>
      <c r="R113" s="137"/>
      <c r="AH113" s="243" t="s">
        <v>410</v>
      </c>
      <c r="AI113" s="245">
        <v>131</v>
      </c>
      <c r="AJ113" s="245">
        <v>31.42</v>
      </c>
      <c r="AK113" s="245">
        <v>1.65</v>
      </c>
      <c r="AL113" s="245">
        <v>14.94</v>
      </c>
      <c r="AM113" s="245">
        <v>2.99</v>
      </c>
      <c r="AN113" s="245">
        <v>3.6875</v>
      </c>
      <c r="AO113" s="245">
        <v>4.01</v>
      </c>
      <c r="AP113" s="245">
        <v>0.7</v>
      </c>
      <c r="AQ113" s="245">
        <v>20400</v>
      </c>
      <c r="AR113" s="245">
        <v>1300</v>
      </c>
      <c r="AS113" s="245">
        <v>12.5</v>
      </c>
      <c r="AT113" s="245">
        <v>1670</v>
      </c>
      <c r="AU113" s="245">
        <v>224</v>
      </c>
      <c r="AV113" s="245">
        <v>3.57</v>
      </c>
      <c r="AW113" s="245">
        <v>297</v>
      </c>
      <c r="AX113" s="245">
        <v>336000</v>
      </c>
      <c r="AY113" s="246" t="s">
        <v>726</v>
      </c>
    </row>
    <row r="114" spans="1:51" ht="12.75">
      <c r="A114" s="90" t="s">
        <v>86</v>
      </c>
      <c r="B114" s="44"/>
      <c r="C114" s="50"/>
      <c r="D114" s="47"/>
      <c r="E114" s="46"/>
      <c r="F114" s="44"/>
      <c r="G114" s="44"/>
      <c r="H114" s="44"/>
      <c r="I114" s="44"/>
      <c r="J114" s="228" t="s">
        <v>285</v>
      </c>
      <c r="N114" s="138" t="s">
        <v>144</v>
      </c>
      <c r="O114" s="74">
        <f>$O$11*$O$6/$O$8^2</f>
        <v>2.4181288279382778</v>
      </c>
      <c r="P114" s="155" t="s">
        <v>9</v>
      </c>
      <c r="Q114" s="139" t="s">
        <v>251</v>
      </c>
      <c r="R114" s="111"/>
      <c r="AH114" s="243" t="s">
        <v>411</v>
      </c>
      <c r="AI114" s="245">
        <v>119</v>
      </c>
      <c r="AJ114" s="245">
        <v>30.87</v>
      </c>
      <c r="AK114" s="245">
        <v>1.52</v>
      </c>
      <c r="AL114" s="245">
        <v>14.8</v>
      </c>
      <c r="AM114" s="245">
        <v>2.72</v>
      </c>
      <c r="AN114" s="245">
        <v>3.4375</v>
      </c>
      <c r="AO114" s="245">
        <v>3.96</v>
      </c>
      <c r="AP114" s="245">
        <v>0.77</v>
      </c>
      <c r="AQ114" s="245">
        <v>18100</v>
      </c>
      <c r="AR114" s="245">
        <v>1170</v>
      </c>
      <c r="AS114" s="245">
        <v>12.3</v>
      </c>
      <c r="AT114" s="245">
        <v>1480</v>
      </c>
      <c r="AU114" s="245">
        <v>200</v>
      </c>
      <c r="AV114" s="245">
        <v>3.52</v>
      </c>
      <c r="AW114" s="245">
        <v>225</v>
      </c>
      <c r="AX114" s="245">
        <v>291000</v>
      </c>
      <c r="AY114" s="246" t="s">
        <v>727</v>
      </c>
    </row>
    <row r="115" spans="1:51" ht="12.75">
      <c r="A115" s="146" t="s">
        <v>261</v>
      </c>
      <c r="B115" s="15">
        <f>$O$111</f>
        <v>-8.59663016650232</v>
      </c>
      <c r="C115" s="96" t="s">
        <v>9</v>
      </c>
      <c r="D115" s="147" t="s">
        <v>273</v>
      </c>
      <c r="E115" s="157"/>
      <c r="F115" s="44"/>
      <c r="G115" s="44"/>
      <c r="H115" s="44"/>
      <c r="I115" s="44"/>
      <c r="J115" s="76"/>
      <c r="N115" s="138" t="s">
        <v>252</v>
      </c>
      <c r="O115" s="74">
        <f>$O$13*$O$6/$O$8^2</f>
        <v>10.472851562803786</v>
      </c>
      <c r="P115" s="155" t="s">
        <v>9</v>
      </c>
      <c r="Q115" s="139" t="s">
        <v>253</v>
      </c>
      <c r="R115" s="111"/>
      <c r="U115" s="78"/>
      <c r="AH115" s="243" t="s">
        <v>412</v>
      </c>
      <c r="AI115" s="244">
        <v>108</v>
      </c>
      <c r="AJ115" s="244">
        <v>30.4</v>
      </c>
      <c r="AK115" s="244">
        <v>1.38</v>
      </c>
      <c r="AL115" s="244">
        <v>14.7</v>
      </c>
      <c r="AM115" s="244">
        <v>2.48</v>
      </c>
      <c r="AN115" s="244">
        <v>3.27</v>
      </c>
      <c r="AO115" s="245">
        <v>3.93</v>
      </c>
      <c r="AP115" s="245">
        <v>0.84</v>
      </c>
      <c r="AQ115" s="244">
        <v>16200</v>
      </c>
      <c r="AR115" s="244">
        <v>1060</v>
      </c>
      <c r="AS115" s="244">
        <v>12.2</v>
      </c>
      <c r="AT115" s="244">
        <v>1310</v>
      </c>
      <c r="AU115" s="244">
        <v>179</v>
      </c>
      <c r="AV115" s="244">
        <v>3.48</v>
      </c>
      <c r="AW115" s="244">
        <v>170</v>
      </c>
      <c r="AX115" s="244">
        <v>255000</v>
      </c>
      <c r="AY115" s="246" t="s">
        <v>728</v>
      </c>
    </row>
    <row r="116" spans="1:51" ht="12.75">
      <c r="A116" s="146" t="s">
        <v>262</v>
      </c>
      <c r="B116" s="16">
        <f>$O$112</f>
        <v>0.8672888093069673</v>
      </c>
      <c r="C116" s="96" t="s">
        <v>9</v>
      </c>
      <c r="D116" s="147" t="s">
        <v>274</v>
      </c>
      <c r="E116" s="157"/>
      <c r="F116" s="44"/>
      <c r="G116" s="44"/>
      <c r="H116" s="44"/>
      <c r="I116" s="44"/>
      <c r="J116" s="76"/>
      <c r="N116" s="155" t="s">
        <v>88</v>
      </c>
      <c r="O116" s="111"/>
      <c r="P116" s="71"/>
      <c r="Q116" s="136"/>
      <c r="R116" s="137"/>
      <c r="U116" s="78"/>
      <c r="AH116" s="243" t="s">
        <v>413</v>
      </c>
      <c r="AI116" s="244">
        <v>98.9</v>
      </c>
      <c r="AJ116" s="244">
        <v>30</v>
      </c>
      <c r="AK116" s="244">
        <v>1.26</v>
      </c>
      <c r="AL116" s="244">
        <v>14.6</v>
      </c>
      <c r="AM116" s="244">
        <v>2.28</v>
      </c>
      <c r="AN116" s="244">
        <v>3.07</v>
      </c>
      <c r="AO116" s="245">
        <v>3.89</v>
      </c>
      <c r="AP116" s="245">
        <v>0.9</v>
      </c>
      <c r="AQ116" s="244">
        <v>14600</v>
      </c>
      <c r="AR116" s="244">
        <v>972</v>
      </c>
      <c r="AS116" s="244">
        <v>12.1</v>
      </c>
      <c r="AT116" s="244">
        <v>1180</v>
      </c>
      <c r="AU116" s="244">
        <v>162</v>
      </c>
      <c r="AV116" s="244">
        <v>3.45</v>
      </c>
      <c r="AW116" s="244">
        <v>131</v>
      </c>
      <c r="AX116" s="244">
        <v>227000</v>
      </c>
      <c r="AY116" s="246" t="s">
        <v>729</v>
      </c>
    </row>
    <row r="117" spans="1:51" ht="12.75">
      <c r="A117" s="175" t="s">
        <v>87</v>
      </c>
      <c r="B117" s="44"/>
      <c r="C117" s="50"/>
      <c r="D117" s="118"/>
      <c r="E117" s="226"/>
      <c r="F117" s="44"/>
      <c r="G117" s="44"/>
      <c r="H117" s="44"/>
      <c r="I117" s="44"/>
      <c r="J117" s="76"/>
      <c r="N117" s="138" t="s">
        <v>145</v>
      </c>
      <c r="O117" s="74">
        <f>-$O$111</f>
        <v>8.59663016650232</v>
      </c>
      <c r="P117" s="155" t="s">
        <v>9</v>
      </c>
      <c r="Q117" s="139" t="s">
        <v>146</v>
      </c>
      <c r="R117" s="111"/>
      <c r="V117" s="78"/>
      <c r="AH117" s="243" t="s">
        <v>414</v>
      </c>
      <c r="AI117" s="244">
        <v>90.4</v>
      </c>
      <c r="AJ117" s="244">
        <v>29.6</v>
      </c>
      <c r="AK117" s="244">
        <v>1.16</v>
      </c>
      <c r="AL117" s="244">
        <v>14.4</v>
      </c>
      <c r="AM117" s="244">
        <v>2.09</v>
      </c>
      <c r="AN117" s="244">
        <v>2.88</v>
      </c>
      <c r="AO117" s="245">
        <v>3.86</v>
      </c>
      <c r="AP117" s="245">
        <v>0.98</v>
      </c>
      <c r="AQ117" s="244">
        <v>13100</v>
      </c>
      <c r="AR117" s="244">
        <v>887</v>
      </c>
      <c r="AS117" s="244">
        <v>12</v>
      </c>
      <c r="AT117" s="244">
        <v>1050</v>
      </c>
      <c r="AU117" s="244">
        <v>146</v>
      </c>
      <c r="AV117" s="244">
        <v>3.41</v>
      </c>
      <c r="AW117" s="244">
        <v>101</v>
      </c>
      <c r="AX117" s="244">
        <v>199000</v>
      </c>
      <c r="AY117" s="246" t="s">
        <v>730</v>
      </c>
    </row>
    <row r="118" spans="1:51" ht="12.75">
      <c r="A118" s="146" t="s">
        <v>263</v>
      </c>
      <c r="B118" s="15">
        <f>$O$114</f>
        <v>2.4181288279382778</v>
      </c>
      <c r="C118" s="96" t="s">
        <v>9</v>
      </c>
      <c r="D118" s="147" t="s">
        <v>275</v>
      </c>
      <c r="E118" s="157"/>
      <c r="F118" s="44"/>
      <c r="G118" s="44"/>
      <c r="H118" s="44"/>
      <c r="I118" s="44"/>
      <c r="J118" s="76"/>
      <c r="N118" s="138" t="s">
        <v>254</v>
      </c>
      <c r="O118" s="74">
        <f>-$O$112</f>
        <v>-0.8672888093069673</v>
      </c>
      <c r="P118" s="155" t="s">
        <v>9</v>
      </c>
      <c r="Q118" s="139" t="s">
        <v>255</v>
      </c>
      <c r="R118" s="111"/>
      <c r="AH118" s="243" t="s">
        <v>415</v>
      </c>
      <c r="AI118" s="244">
        <v>82.9</v>
      </c>
      <c r="AJ118" s="244">
        <v>29.3</v>
      </c>
      <c r="AK118" s="244">
        <v>1.06</v>
      </c>
      <c r="AL118" s="244">
        <v>14.4</v>
      </c>
      <c r="AM118" s="244">
        <v>1.93</v>
      </c>
      <c r="AN118" s="244">
        <v>2.72</v>
      </c>
      <c r="AO118" s="245">
        <v>3.84</v>
      </c>
      <c r="AP118" s="245">
        <v>1.06</v>
      </c>
      <c r="AQ118" s="244">
        <v>11900</v>
      </c>
      <c r="AR118" s="244">
        <v>814</v>
      </c>
      <c r="AS118" s="244">
        <v>12</v>
      </c>
      <c r="AT118" s="244">
        <v>953</v>
      </c>
      <c r="AU118" s="244">
        <v>133</v>
      </c>
      <c r="AV118" s="244">
        <v>3.39</v>
      </c>
      <c r="AW118" s="244">
        <v>79.5</v>
      </c>
      <c r="AX118" s="244">
        <v>178000</v>
      </c>
      <c r="AY118" s="246" t="s">
        <v>731</v>
      </c>
    </row>
    <row r="119" spans="1:51" ht="12.75">
      <c r="A119" s="146" t="s">
        <v>264</v>
      </c>
      <c r="B119" s="16">
        <f>$O$115</f>
        <v>10.472851562803786</v>
      </c>
      <c r="C119" s="96" t="s">
        <v>9</v>
      </c>
      <c r="D119" s="147" t="s">
        <v>276</v>
      </c>
      <c r="E119" s="157"/>
      <c r="F119" s="44"/>
      <c r="G119" s="44"/>
      <c r="H119" s="44"/>
      <c r="I119" s="44"/>
      <c r="J119" s="76"/>
      <c r="N119" s="155" t="s">
        <v>938</v>
      </c>
      <c r="O119" s="111"/>
      <c r="P119" s="71"/>
      <c r="Q119" s="136"/>
      <c r="R119" s="137"/>
      <c r="AH119" s="243" t="s">
        <v>416</v>
      </c>
      <c r="AI119" s="244">
        <v>76</v>
      </c>
      <c r="AJ119" s="244">
        <v>29</v>
      </c>
      <c r="AK119" s="244">
        <v>0.98</v>
      </c>
      <c r="AL119" s="244">
        <v>14.3</v>
      </c>
      <c r="AM119" s="244">
        <v>1.77</v>
      </c>
      <c r="AN119" s="244">
        <v>2.56</v>
      </c>
      <c r="AO119" s="245">
        <v>3.81</v>
      </c>
      <c r="AP119" s="245">
        <v>1.15</v>
      </c>
      <c r="AQ119" s="244">
        <v>10800</v>
      </c>
      <c r="AR119" s="244">
        <v>745</v>
      </c>
      <c r="AS119" s="244">
        <v>11.9</v>
      </c>
      <c r="AT119" s="244">
        <v>859</v>
      </c>
      <c r="AU119" s="244">
        <v>120</v>
      </c>
      <c r="AV119" s="244">
        <v>3.36</v>
      </c>
      <c r="AW119" s="244">
        <v>61.6</v>
      </c>
      <c r="AX119" s="244">
        <v>159000</v>
      </c>
      <c r="AY119" s="246" t="s">
        <v>732</v>
      </c>
    </row>
    <row r="120" spans="1:51" ht="12.75">
      <c r="A120" s="175" t="s">
        <v>88</v>
      </c>
      <c r="B120" s="44"/>
      <c r="C120" s="50"/>
      <c r="D120" s="118"/>
      <c r="E120" s="226"/>
      <c r="F120" s="44"/>
      <c r="G120" s="44"/>
      <c r="H120" s="44"/>
      <c r="I120" s="44"/>
      <c r="J120" s="76"/>
      <c r="N120" s="136" t="s">
        <v>963</v>
      </c>
      <c r="O120" s="75">
        <f>$O$34</f>
        <v>5.959471850948322</v>
      </c>
      <c r="P120" s="155" t="s">
        <v>9</v>
      </c>
      <c r="Q120" s="111" t="s">
        <v>971</v>
      </c>
      <c r="AH120" s="243" t="s">
        <v>417</v>
      </c>
      <c r="AI120" s="244">
        <v>69.4</v>
      </c>
      <c r="AJ120" s="244">
        <v>28.7</v>
      </c>
      <c r="AK120" s="244">
        <v>0.91</v>
      </c>
      <c r="AL120" s="244">
        <v>14.2</v>
      </c>
      <c r="AM120" s="244">
        <v>1.61</v>
      </c>
      <c r="AN120" s="244">
        <v>2.4</v>
      </c>
      <c r="AO120" s="245">
        <v>3.78</v>
      </c>
      <c r="AP120" s="245">
        <v>1.25</v>
      </c>
      <c r="AQ120" s="244">
        <v>9700</v>
      </c>
      <c r="AR120" s="244">
        <v>677</v>
      </c>
      <c r="AS120" s="244">
        <v>11.8</v>
      </c>
      <c r="AT120" s="244">
        <v>769</v>
      </c>
      <c r="AU120" s="244">
        <v>108</v>
      </c>
      <c r="AV120" s="244">
        <v>3.33</v>
      </c>
      <c r="AW120" s="244">
        <v>47</v>
      </c>
      <c r="AX120" s="244">
        <v>141000</v>
      </c>
      <c r="AY120" s="246" t="s">
        <v>656</v>
      </c>
    </row>
    <row r="121" spans="1:51" ht="12.75">
      <c r="A121" s="146" t="s">
        <v>265</v>
      </c>
      <c r="B121" s="15">
        <f>$O$117</f>
        <v>8.59663016650232</v>
      </c>
      <c r="C121" s="96" t="s">
        <v>9</v>
      </c>
      <c r="D121" s="147" t="s">
        <v>277</v>
      </c>
      <c r="E121" s="157"/>
      <c r="F121" s="44"/>
      <c r="G121" s="44"/>
      <c r="H121" s="44"/>
      <c r="I121" s="44"/>
      <c r="J121" s="76"/>
      <c r="N121" s="136" t="s">
        <v>959</v>
      </c>
      <c r="O121" s="75">
        <f>$O$28*12*($F$21/2)/$I$22</f>
        <v>0.09616349192874311</v>
      </c>
      <c r="P121" s="155" t="s">
        <v>9</v>
      </c>
      <c r="Q121" s="111" t="s">
        <v>969</v>
      </c>
      <c r="AH121" s="243" t="s">
        <v>418</v>
      </c>
      <c r="AI121" s="244">
        <v>64</v>
      </c>
      <c r="AJ121" s="244">
        <v>28.4</v>
      </c>
      <c r="AK121" s="244">
        <v>0.83</v>
      </c>
      <c r="AL121" s="244">
        <v>14.1</v>
      </c>
      <c r="AM121" s="244">
        <v>1.5</v>
      </c>
      <c r="AN121" s="244">
        <v>2.29</v>
      </c>
      <c r="AO121" s="245">
        <v>3.76</v>
      </c>
      <c r="AP121" s="245">
        <v>1.34</v>
      </c>
      <c r="AQ121" s="244">
        <v>8910</v>
      </c>
      <c r="AR121" s="244">
        <v>627</v>
      </c>
      <c r="AS121" s="244">
        <v>11.8</v>
      </c>
      <c r="AT121" s="244">
        <v>704</v>
      </c>
      <c r="AU121" s="244">
        <v>99.8</v>
      </c>
      <c r="AV121" s="244">
        <v>3.32</v>
      </c>
      <c r="AW121" s="244">
        <v>37.6</v>
      </c>
      <c r="AX121" s="244">
        <v>128000</v>
      </c>
      <c r="AY121" s="246" t="s">
        <v>733</v>
      </c>
    </row>
    <row r="122" spans="1:51" ht="12.75">
      <c r="A122" s="146" t="s">
        <v>266</v>
      </c>
      <c r="B122" s="16">
        <f>$O$118</f>
        <v>-0.8672888093069673</v>
      </c>
      <c r="C122" s="96" t="s">
        <v>9</v>
      </c>
      <c r="D122" s="147" t="s">
        <v>278</v>
      </c>
      <c r="E122" s="157"/>
      <c r="F122" s="44"/>
      <c r="G122" s="44"/>
      <c r="H122" s="44"/>
      <c r="I122" s="44"/>
      <c r="J122" s="76"/>
      <c r="N122" s="138" t="s">
        <v>256</v>
      </c>
      <c r="O122" s="74">
        <f>$O$120+$O$121+0.75*$O$112</f>
        <v>6.70610194985729</v>
      </c>
      <c r="P122" s="155" t="s">
        <v>9</v>
      </c>
      <c r="Q122" s="139" t="s">
        <v>974</v>
      </c>
      <c r="R122" s="111"/>
      <c r="AH122" s="243" t="s">
        <v>419</v>
      </c>
      <c r="AI122" s="244">
        <v>57.2</v>
      </c>
      <c r="AJ122" s="244">
        <v>28.1</v>
      </c>
      <c r="AK122" s="244">
        <v>0.75</v>
      </c>
      <c r="AL122" s="244">
        <v>14</v>
      </c>
      <c r="AM122" s="244">
        <v>1.34</v>
      </c>
      <c r="AN122" s="244">
        <v>2.13</v>
      </c>
      <c r="AO122" s="245">
        <v>3.74</v>
      </c>
      <c r="AP122" s="245">
        <v>1.49</v>
      </c>
      <c r="AQ122" s="244">
        <v>7860</v>
      </c>
      <c r="AR122" s="244">
        <v>559</v>
      </c>
      <c r="AS122" s="244">
        <v>11.7</v>
      </c>
      <c r="AT122" s="244">
        <v>619</v>
      </c>
      <c r="AU122" s="244">
        <v>88.1</v>
      </c>
      <c r="AV122" s="244">
        <v>3.29</v>
      </c>
      <c r="AW122" s="244">
        <v>27.1</v>
      </c>
      <c r="AX122" s="244">
        <v>111000</v>
      </c>
      <c r="AY122" s="246" t="s">
        <v>683</v>
      </c>
    </row>
    <row r="123" spans="1:51" ht="12.75">
      <c r="A123" s="175" t="s">
        <v>938</v>
      </c>
      <c r="B123" s="44"/>
      <c r="C123" s="44"/>
      <c r="D123" s="44"/>
      <c r="E123" s="44"/>
      <c r="F123" s="44"/>
      <c r="G123" s="44"/>
      <c r="H123" s="44"/>
      <c r="I123" s="44"/>
      <c r="J123" s="76"/>
      <c r="N123" s="138" t="s">
        <v>147</v>
      </c>
      <c r="O123" s="74">
        <f>0.75*$O$111</f>
        <v>-6.44747262487674</v>
      </c>
      <c r="P123" s="155" t="s">
        <v>9</v>
      </c>
      <c r="Q123" s="139" t="s">
        <v>148</v>
      </c>
      <c r="R123" s="111"/>
      <c r="AH123" s="243" t="s">
        <v>420</v>
      </c>
      <c r="AI123" s="244">
        <v>52.5</v>
      </c>
      <c r="AJ123" s="244">
        <v>27.8</v>
      </c>
      <c r="AK123" s="244">
        <v>0.725</v>
      </c>
      <c r="AL123" s="244">
        <v>14.1</v>
      </c>
      <c r="AM123" s="244">
        <v>1.19</v>
      </c>
      <c r="AN123" s="244">
        <v>1.98</v>
      </c>
      <c r="AO123" s="245">
        <v>3.72</v>
      </c>
      <c r="AP123" s="245">
        <v>1.66</v>
      </c>
      <c r="AQ123" s="244">
        <v>7020</v>
      </c>
      <c r="AR123" s="244">
        <v>505</v>
      </c>
      <c r="AS123" s="244">
        <v>11.6</v>
      </c>
      <c r="AT123" s="244">
        <v>555</v>
      </c>
      <c r="AU123" s="244">
        <v>78.8</v>
      </c>
      <c r="AV123" s="244">
        <v>3.25</v>
      </c>
      <c r="AW123" s="244">
        <v>20.1</v>
      </c>
      <c r="AX123" s="244">
        <v>98300</v>
      </c>
      <c r="AY123" s="246" t="s">
        <v>734</v>
      </c>
    </row>
    <row r="124" spans="1:51" ht="12.75">
      <c r="A124" s="159" t="s">
        <v>963</v>
      </c>
      <c r="B124" s="15">
        <f>$O$120</f>
        <v>5.959471850948322</v>
      </c>
      <c r="C124" s="44"/>
      <c r="D124" s="44" t="s">
        <v>971</v>
      </c>
      <c r="E124" s="44"/>
      <c r="F124" s="44"/>
      <c r="G124" s="44"/>
      <c r="H124" s="44"/>
      <c r="I124" s="44"/>
      <c r="J124" s="76"/>
      <c r="N124" s="138" t="s">
        <v>257</v>
      </c>
      <c r="O124" s="74">
        <f>0</f>
        <v>0</v>
      </c>
      <c r="P124" s="155" t="s">
        <v>9</v>
      </c>
      <c r="Q124" s="139" t="s">
        <v>941</v>
      </c>
      <c r="R124" s="111"/>
      <c r="AH124" s="243" t="s">
        <v>421</v>
      </c>
      <c r="AI124" s="244">
        <v>47.6</v>
      </c>
      <c r="AJ124" s="244">
        <v>27.6</v>
      </c>
      <c r="AK124" s="244">
        <v>0.66</v>
      </c>
      <c r="AL124" s="244">
        <v>14</v>
      </c>
      <c r="AM124" s="244">
        <v>1.08</v>
      </c>
      <c r="AN124" s="244">
        <v>1.87</v>
      </c>
      <c r="AO124" s="245">
        <v>3.7</v>
      </c>
      <c r="AP124" s="245">
        <v>1.82</v>
      </c>
      <c r="AQ124" s="244">
        <v>6310</v>
      </c>
      <c r="AR124" s="244">
        <v>458</v>
      </c>
      <c r="AS124" s="244">
        <v>11.5</v>
      </c>
      <c r="AT124" s="244">
        <v>497</v>
      </c>
      <c r="AU124" s="244">
        <v>70.9</v>
      </c>
      <c r="AV124" s="244">
        <v>3.23</v>
      </c>
      <c r="AW124" s="244">
        <v>15.1</v>
      </c>
      <c r="AX124" s="244">
        <v>87300</v>
      </c>
      <c r="AY124" s="246" t="s">
        <v>735</v>
      </c>
    </row>
    <row r="125" spans="1:51" ht="12.75">
      <c r="A125" s="159" t="s">
        <v>959</v>
      </c>
      <c r="B125" s="17">
        <f>$O$121</f>
        <v>0.09616349192874311</v>
      </c>
      <c r="C125" s="44"/>
      <c r="D125" s="157" t="s">
        <v>969</v>
      </c>
      <c r="E125" s="157"/>
      <c r="F125" s="44"/>
      <c r="G125" s="44"/>
      <c r="H125" s="44"/>
      <c r="I125" s="44"/>
      <c r="J125" s="76"/>
      <c r="N125" s="138" t="s">
        <v>229</v>
      </c>
      <c r="O125" s="74">
        <f>SQRT($O$123^2+$O$122^2-$O$123*$O$122+3*$O$124^2)</f>
        <v>11.392063700302598</v>
      </c>
      <c r="P125" s="155" t="s">
        <v>9</v>
      </c>
      <c r="Q125" s="139" t="s">
        <v>259</v>
      </c>
      <c r="R125" s="111"/>
      <c r="AH125" s="243" t="s">
        <v>422</v>
      </c>
      <c r="AI125" s="244">
        <v>43.1</v>
      </c>
      <c r="AJ125" s="244">
        <v>27.4</v>
      </c>
      <c r="AK125" s="244">
        <v>0.605</v>
      </c>
      <c r="AL125" s="244">
        <v>14</v>
      </c>
      <c r="AM125" s="244">
        <v>0.975</v>
      </c>
      <c r="AN125" s="244">
        <v>1.76</v>
      </c>
      <c r="AO125" s="245">
        <v>3.68</v>
      </c>
      <c r="AP125" s="245">
        <v>2.01</v>
      </c>
      <c r="AQ125" s="244">
        <v>5660</v>
      </c>
      <c r="AR125" s="244">
        <v>414</v>
      </c>
      <c r="AS125" s="244">
        <v>11.5</v>
      </c>
      <c r="AT125" s="244">
        <v>443</v>
      </c>
      <c r="AU125" s="244">
        <v>63.5</v>
      </c>
      <c r="AV125" s="244">
        <v>3.2</v>
      </c>
      <c r="AW125" s="244">
        <v>11.3</v>
      </c>
      <c r="AX125" s="244">
        <v>77200</v>
      </c>
      <c r="AY125" s="246" t="s">
        <v>736</v>
      </c>
    </row>
    <row r="126" spans="1:51" ht="12.75">
      <c r="A126" s="146" t="s">
        <v>267</v>
      </c>
      <c r="B126" s="17">
        <f>$O$122</f>
        <v>6.70610194985729</v>
      </c>
      <c r="C126" s="96" t="s">
        <v>9</v>
      </c>
      <c r="D126" s="147" t="s">
        <v>964</v>
      </c>
      <c r="E126" s="157"/>
      <c r="F126" s="44"/>
      <c r="G126" s="44"/>
      <c r="H126" s="44"/>
      <c r="I126" s="44"/>
      <c r="J126" s="76"/>
      <c r="N126" s="155" t="s">
        <v>939</v>
      </c>
      <c r="O126" s="111"/>
      <c r="P126" s="71"/>
      <c r="Q126" s="136"/>
      <c r="R126" s="137"/>
      <c r="S126" s="111"/>
      <c r="AH126" s="243" t="s">
        <v>423</v>
      </c>
      <c r="AI126" s="244">
        <v>37.8</v>
      </c>
      <c r="AJ126" s="244">
        <v>27.6</v>
      </c>
      <c r="AK126" s="244">
        <v>0.61</v>
      </c>
      <c r="AL126" s="244">
        <v>10</v>
      </c>
      <c r="AM126" s="244">
        <v>1.1</v>
      </c>
      <c r="AN126" s="244">
        <v>1.7</v>
      </c>
      <c r="AO126" s="245">
        <v>2.59</v>
      </c>
      <c r="AP126" s="245">
        <v>2.51</v>
      </c>
      <c r="AQ126" s="244">
        <v>4760</v>
      </c>
      <c r="AR126" s="244">
        <v>345</v>
      </c>
      <c r="AS126" s="244">
        <v>11.2</v>
      </c>
      <c r="AT126" s="244">
        <v>184</v>
      </c>
      <c r="AU126" s="244">
        <v>36.8</v>
      </c>
      <c r="AV126" s="244">
        <v>2.21</v>
      </c>
      <c r="AW126" s="244">
        <v>11.1</v>
      </c>
      <c r="AX126" s="244">
        <v>32400</v>
      </c>
      <c r="AY126" s="246" t="s">
        <v>737</v>
      </c>
    </row>
    <row r="127" spans="1:51" ht="12.75">
      <c r="A127" s="146" t="s">
        <v>268</v>
      </c>
      <c r="B127" s="17">
        <f>$O$123</f>
        <v>-6.44747262487674</v>
      </c>
      <c r="C127" s="96" t="s">
        <v>9</v>
      </c>
      <c r="D127" s="147" t="s">
        <v>279</v>
      </c>
      <c r="E127" s="157"/>
      <c r="F127" s="44"/>
      <c r="G127" s="44"/>
      <c r="H127" s="44"/>
      <c r="I127" s="44"/>
      <c r="J127" s="76"/>
      <c r="N127" s="136" t="s">
        <v>965</v>
      </c>
      <c r="O127" s="75">
        <f>$O$34</f>
        <v>5.959471850948322</v>
      </c>
      <c r="P127" s="155" t="s">
        <v>9</v>
      </c>
      <c r="Q127" s="111" t="s">
        <v>972</v>
      </c>
      <c r="AH127" s="243" t="s">
        <v>424</v>
      </c>
      <c r="AI127" s="244">
        <v>33.5</v>
      </c>
      <c r="AJ127" s="244">
        <v>27.3</v>
      </c>
      <c r="AK127" s="244">
        <v>0.57</v>
      </c>
      <c r="AL127" s="244">
        <v>10.1</v>
      </c>
      <c r="AM127" s="244">
        <v>0.93</v>
      </c>
      <c r="AN127" s="244">
        <v>1.53</v>
      </c>
      <c r="AO127" s="245">
        <v>2.58</v>
      </c>
      <c r="AP127" s="245">
        <v>2.91</v>
      </c>
      <c r="AQ127" s="244">
        <v>4080</v>
      </c>
      <c r="AR127" s="244">
        <v>299</v>
      </c>
      <c r="AS127" s="244">
        <v>11</v>
      </c>
      <c r="AT127" s="244">
        <v>159</v>
      </c>
      <c r="AU127" s="244">
        <v>31.5</v>
      </c>
      <c r="AV127" s="244">
        <v>2.18</v>
      </c>
      <c r="AW127" s="244">
        <v>7.33</v>
      </c>
      <c r="AX127" s="244">
        <v>27600</v>
      </c>
      <c r="AY127" s="246" t="s">
        <v>738</v>
      </c>
    </row>
    <row r="128" spans="1:51" ht="12.75">
      <c r="A128" s="146" t="s">
        <v>269</v>
      </c>
      <c r="B128" s="17">
        <f>$O$124</f>
        <v>0</v>
      </c>
      <c r="C128" s="96" t="s">
        <v>9</v>
      </c>
      <c r="D128" s="147" t="s">
        <v>942</v>
      </c>
      <c r="E128" s="157"/>
      <c r="F128" s="44"/>
      <c r="G128" s="44"/>
      <c r="H128" s="44"/>
      <c r="I128" s="44"/>
      <c r="J128" s="76"/>
      <c r="N128" s="136" t="s">
        <v>960</v>
      </c>
      <c r="O128" s="75">
        <f>$O$28*12*($F$22/2-$C$26)/$I$22</f>
        <v>1.9050767455072621</v>
      </c>
      <c r="P128" s="155" t="s">
        <v>9</v>
      </c>
      <c r="Q128" s="111" t="s">
        <v>968</v>
      </c>
      <c r="AH128" s="243" t="s">
        <v>425</v>
      </c>
      <c r="AI128" s="244">
        <v>30</v>
      </c>
      <c r="AJ128" s="244">
        <v>27.1</v>
      </c>
      <c r="AK128" s="244">
        <v>0.515</v>
      </c>
      <c r="AL128" s="244">
        <v>10</v>
      </c>
      <c r="AM128" s="244">
        <v>0.83</v>
      </c>
      <c r="AN128" s="244">
        <v>1.43</v>
      </c>
      <c r="AO128" s="245">
        <v>2.56</v>
      </c>
      <c r="AP128" s="245">
        <v>3.26</v>
      </c>
      <c r="AQ128" s="244">
        <v>3620</v>
      </c>
      <c r="AR128" s="244">
        <v>267</v>
      </c>
      <c r="AS128" s="244">
        <v>11</v>
      </c>
      <c r="AT128" s="244">
        <v>139</v>
      </c>
      <c r="AU128" s="244">
        <v>27.8</v>
      </c>
      <c r="AV128" s="244">
        <v>2.15</v>
      </c>
      <c r="AW128" s="244">
        <v>5.28</v>
      </c>
      <c r="AX128" s="244">
        <v>24000</v>
      </c>
      <c r="AY128" s="246" t="s">
        <v>739</v>
      </c>
    </row>
    <row r="129" spans="1:54" ht="12.75">
      <c r="A129" s="146" t="s">
        <v>270</v>
      </c>
      <c r="B129" s="16">
        <f>$O$125</f>
        <v>11.392063700302598</v>
      </c>
      <c r="C129" s="96" t="s">
        <v>9</v>
      </c>
      <c r="D129" s="147" t="s">
        <v>280</v>
      </c>
      <c r="E129" s="157"/>
      <c r="F129" s="44"/>
      <c r="G129" s="44"/>
      <c r="H129" s="50"/>
      <c r="I129" s="44"/>
      <c r="J129" s="206" t="str">
        <f>IF($B$129&lt;=0.66*$C$12,"&lt;=","&gt;")&amp;" Fb = 0.66*Fy = "&amp;ROUND(0.66*$C$12,2)&amp;" ksi"&amp;IF($B$129&lt;=0.66*$C$12,", O.K.","")</f>
        <v>&lt;= Fb = 0.66*Fy = 23.76 ksi, O.K.</v>
      </c>
      <c r="N129" s="138" t="s">
        <v>256</v>
      </c>
      <c r="O129" s="74">
        <f>$O$127+$O$128+0.75*$O$115</f>
        <v>15.719187268558425</v>
      </c>
      <c r="P129" s="155" t="s">
        <v>9</v>
      </c>
      <c r="Q129" s="139" t="s">
        <v>975</v>
      </c>
      <c r="R129" s="111"/>
      <c r="S129" s="111"/>
      <c r="AH129" s="243" t="s">
        <v>426</v>
      </c>
      <c r="AI129" s="244">
        <v>27.7</v>
      </c>
      <c r="AJ129" s="244">
        <v>26.9</v>
      </c>
      <c r="AK129" s="244">
        <v>0.49</v>
      </c>
      <c r="AL129" s="244">
        <v>9.99</v>
      </c>
      <c r="AM129" s="244">
        <v>0.745</v>
      </c>
      <c r="AN129" s="244">
        <v>1.34</v>
      </c>
      <c r="AO129" s="245">
        <v>2.53</v>
      </c>
      <c r="AP129" s="245">
        <v>3.62</v>
      </c>
      <c r="AQ129" s="244">
        <v>3270</v>
      </c>
      <c r="AR129" s="244">
        <v>243</v>
      </c>
      <c r="AS129" s="244">
        <v>10.9</v>
      </c>
      <c r="AT129" s="244">
        <v>124</v>
      </c>
      <c r="AU129" s="244">
        <v>24.8</v>
      </c>
      <c r="AV129" s="244">
        <v>2.12</v>
      </c>
      <c r="AW129" s="244">
        <v>4.03</v>
      </c>
      <c r="AX129" s="244">
        <v>21200</v>
      </c>
      <c r="AY129" s="246" t="s">
        <v>740</v>
      </c>
      <c r="BA129" s="204" t="s">
        <v>225</v>
      </c>
      <c r="BB129" s="205">
        <f>$B$129/(0.66*$C$12)</f>
        <v>0.47946396045044604</v>
      </c>
    </row>
    <row r="130" spans="1:51" ht="12.75">
      <c r="A130" s="175" t="s">
        <v>939</v>
      </c>
      <c r="B130" s="44"/>
      <c r="C130" s="44"/>
      <c r="D130" s="44"/>
      <c r="E130" s="44"/>
      <c r="F130" s="44"/>
      <c r="G130" s="44"/>
      <c r="H130" s="44"/>
      <c r="I130" s="44"/>
      <c r="J130" s="76"/>
      <c r="N130" s="138" t="s">
        <v>147</v>
      </c>
      <c r="O130" s="74">
        <f>0.75*$O$114</f>
        <v>1.8135966209537084</v>
      </c>
      <c r="P130" s="155" t="s">
        <v>9</v>
      </c>
      <c r="Q130" s="139" t="s">
        <v>149</v>
      </c>
      <c r="R130" s="111"/>
      <c r="S130" s="111"/>
      <c r="AH130" s="243" t="s">
        <v>427</v>
      </c>
      <c r="AI130" s="244">
        <v>24.8</v>
      </c>
      <c r="AJ130" s="244">
        <v>26.7</v>
      </c>
      <c r="AK130" s="244">
        <v>0.46</v>
      </c>
      <c r="AL130" s="244">
        <v>9.96</v>
      </c>
      <c r="AM130" s="244">
        <v>0.64</v>
      </c>
      <c r="AN130" s="244">
        <v>1.24</v>
      </c>
      <c r="AO130" s="245">
        <v>2.49</v>
      </c>
      <c r="AP130" s="245">
        <v>4.19</v>
      </c>
      <c r="AQ130" s="244">
        <v>2850</v>
      </c>
      <c r="AR130" s="244">
        <v>213</v>
      </c>
      <c r="AS130" s="244">
        <v>10.7</v>
      </c>
      <c r="AT130" s="244">
        <v>106</v>
      </c>
      <c r="AU130" s="244">
        <v>21.2</v>
      </c>
      <c r="AV130" s="244">
        <v>2.07</v>
      </c>
      <c r="AW130" s="244">
        <v>2.81</v>
      </c>
      <c r="AX130" s="244">
        <v>18000</v>
      </c>
      <c r="AY130" s="246" t="s">
        <v>741</v>
      </c>
    </row>
    <row r="131" spans="1:51" ht="12.75">
      <c r="A131" s="159" t="s">
        <v>965</v>
      </c>
      <c r="B131" s="15">
        <f>$O$127</f>
        <v>5.959471850948322</v>
      </c>
      <c r="C131" s="44"/>
      <c r="D131" s="44" t="s">
        <v>972</v>
      </c>
      <c r="E131" s="157"/>
      <c r="F131" s="44"/>
      <c r="G131" s="44"/>
      <c r="H131" s="44"/>
      <c r="I131" s="44"/>
      <c r="J131" s="203"/>
      <c r="N131" s="138" t="s">
        <v>257</v>
      </c>
      <c r="O131" s="74">
        <f>0</f>
        <v>0</v>
      </c>
      <c r="P131" s="155" t="s">
        <v>9</v>
      </c>
      <c r="Q131" s="139" t="s">
        <v>941</v>
      </c>
      <c r="R131" s="111"/>
      <c r="S131" s="111"/>
      <c r="AH131" s="243" t="s">
        <v>428</v>
      </c>
      <c r="AI131" s="245">
        <v>144</v>
      </c>
      <c r="AJ131" s="245">
        <v>29.65</v>
      </c>
      <c r="AK131" s="245">
        <v>1.97</v>
      </c>
      <c r="AL131" s="247">
        <v>14.115</v>
      </c>
      <c r="AM131" s="245">
        <v>3.54</v>
      </c>
      <c r="AN131" s="245">
        <v>4.3125</v>
      </c>
      <c r="AO131" s="245">
        <v>3.8</v>
      </c>
      <c r="AP131" s="245">
        <v>0.59</v>
      </c>
      <c r="AQ131" s="245">
        <v>19100</v>
      </c>
      <c r="AR131" s="245">
        <v>1290</v>
      </c>
      <c r="AS131" s="245">
        <v>11.5</v>
      </c>
      <c r="AT131" s="245">
        <v>1670</v>
      </c>
      <c r="AU131" s="245">
        <v>237</v>
      </c>
      <c r="AV131" s="245">
        <v>3.41</v>
      </c>
      <c r="AW131" s="245">
        <v>456</v>
      </c>
      <c r="AX131" s="245">
        <v>283000</v>
      </c>
      <c r="AY131" s="246" t="s">
        <v>742</v>
      </c>
    </row>
    <row r="132" spans="1:51" ht="12.75">
      <c r="A132" s="159" t="s">
        <v>960</v>
      </c>
      <c r="B132" s="17">
        <f>$O$128</f>
        <v>1.9050767455072621</v>
      </c>
      <c r="C132" s="50"/>
      <c r="D132" s="157" t="s">
        <v>968</v>
      </c>
      <c r="E132" s="226"/>
      <c r="F132" s="44"/>
      <c r="G132" s="44"/>
      <c r="H132" s="44"/>
      <c r="I132" s="44"/>
      <c r="J132" s="76"/>
      <c r="N132" s="138" t="s">
        <v>230</v>
      </c>
      <c r="O132" s="74">
        <f>SQRT($O$130^2+$O$129^2-$O$130*$O$129+3*$O$131^2)</f>
        <v>14.895426015161428</v>
      </c>
      <c r="P132" s="155" t="s">
        <v>9</v>
      </c>
      <c r="Q132" s="139" t="s">
        <v>258</v>
      </c>
      <c r="R132" s="111"/>
      <c r="S132" s="111"/>
      <c r="AH132" s="243" t="s">
        <v>430</v>
      </c>
      <c r="AI132" s="245">
        <v>132</v>
      </c>
      <c r="AJ132" s="245">
        <v>29.09</v>
      </c>
      <c r="AK132" s="245">
        <v>1.81</v>
      </c>
      <c r="AL132" s="247">
        <v>13.955</v>
      </c>
      <c r="AM132" s="245">
        <v>3.27</v>
      </c>
      <c r="AN132" s="245">
        <v>4.0625</v>
      </c>
      <c r="AO132" s="245">
        <v>3.76</v>
      </c>
      <c r="AP132" s="245">
        <v>0.64</v>
      </c>
      <c r="AQ132" s="245">
        <v>17100</v>
      </c>
      <c r="AR132" s="245">
        <v>1170</v>
      </c>
      <c r="AS132" s="245">
        <v>11.4</v>
      </c>
      <c r="AT132" s="245">
        <v>1490</v>
      </c>
      <c r="AU132" s="245">
        <v>214</v>
      </c>
      <c r="AV132" s="245">
        <v>3.36</v>
      </c>
      <c r="AW132" s="245">
        <v>357</v>
      </c>
      <c r="AX132" s="245">
        <v>247000</v>
      </c>
      <c r="AY132" s="246" t="s">
        <v>743</v>
      </c>
    </row>
    <row r="133" spans="1:51" ht="12.75">
      <c r="A133" s="146" t="s">
        <v>267</v>
      </c>
      <c r="B133" s="17">
        <f>$O$129</f>
        <v>15.719187268558425</v>
      </c>
      <c r="C133" s="96" t="s">
        <v>9</v>
      </c>
      <c r="D133" s="147" t="s">
        <v>967</v>
      </c>
      <c r="E133" s="157"/>
      <c r="F133" s="44"/>
      <c r="G133" s="44"/>
      <c r="H133" s="44"/>
      <c r="I133" s="44"/>
      <c r="J133" s="76"/>
      <c r="N133" s="155" t="s">
        <v>940</v>
      </c>
      <c r="O133" s="111"/>
      <c r="P133" s="71"/>
      <c r="Q133" s="136"/>
      <c r="R133" s="137"/>
      <c r="AH133" s="243" t="s">
        <v>431</v>
      </c>
      <c r="AI133" s="245">
        <v>119</v>
      </c>
      <c r="AJ133" s="245">
        <v>28.54</v>
      </c>
      <c r="AK133" s="245">
        <v>1.65</v>
      </c>
      <c r="AL133" s="245">
        <v>13.8</v>
      </c>
      <c r="AM133" s="245">
        <v>2.99</v>
      </c>
      <c r="AN133" s="245">
        <v>3.75</v>
      </c>
      <c r="AO133" s="245">
        <v>3.71</v>
      </c>
      <c r="AP133" s="245">
        <v>0.69</v>
      </c>
      <c r="AQ133" s="245">
        <v>15100</v>
      </c>
      <c r="AR133" s="245">
        <v>1060</v>
      </c>
      <c r="AS133" s="245">
        <v>11.3</v>
      </c>
      <c r="AT133" s="245">
        <v>1320</v>
      </c>
      <c r="AU133" s="245">
        <v>191</v>
      </c>
      <c r="AV133" s="245">
        <v>3.33</v>
      </c>
      <c r="AW133" s="245">
        <v>271</v>
      </c>
      <c r="AX133" s="245">
        <v>214000</v>
      </c>
      <c r="AY133" s="246" t="s">
        <v>744</v>
      </c>
    </row>
    <row r="134" spans="1:51" ht="12.75">
      <c r="A134" s="146" t="s">
        <v>268</v>
      </c>
      <c r="B134" s="17">
        <f>$O$130</f>
        <v>1.8135966209537084</v>
      </c>
      <c r="C134" s="96" t="s">
        <v>9</v>
      </c>
      <c r="D134" s="147" t="s">
        <v>281</v>
      </c>
      <c r="E134" s="157"/>
      <c r="F134" s="44"/>
      <c r="G134" s="44"/>
      <c r="H134" s="44"/>
      <c r="I134" s="44"/>
      <c r="J134" s="76"/>
      <c r="N134" s="136" t="s">
        <v>961</v>
      </c>
      <c r="O134" s="75">
        <f>$O$27*12*($F$20/2-$F$23)/$I$20</f>
        <v>5.342674135183165</v>
      </c>
      <c r="P134" s="155" t="s">
        <v>9</v>
      </c>
      <c r="Q134" s="111" t="s">
        <v>970</v>
      </c>
      <c r="AH134" s="243" t="s">
        <v>432</v>
      </c>
      <c r="AI134" s="244">
        <v>109</v>
      </c>
      <c r="AJ134" s="244">
        <v>28</v>
      </c>
      <c r="AK134" s="244">
        <v>1.52</v>
      </c>
      <c r="AL134" s="244">
        <v>13.7</v>
      </c>
      <c r="AM134" s="244">
        <v>2.72</v>
      </c>
      <c r="AN134" s="244">
        <v>3.22</v>
      </c>
      <c r="AO134" s="245">
        <v>3.67</v>
      </c>
      <c r="AP134" s="245">
        <v>0.75</v>
      </c>
      <c r="AQ134" s="244">
        <v>13400</v>
      </c>
      <c r="AR134" s="244">
        <v>957</v>
      </c>
      <c r="AS134" s="244">
        <v>11.1</v>
      </c>
      <c r="AT134" s="244">
        <v>1160</v>
      </c>
      <c r="AU134" s="244">
        <v>170</v>
      </c>
      <c r="AV134" s="244">
        <v>3.27</v>
      </c>
      <c r="AW134" s="244">
        <v>201</v>
      </c>
      <c r="AX134" s="244">
        <v>185000</v>
      </c>
      <c r="AY134" s="246" t="s">
        <v>745</v>
      </c>
    </row>
    <row r="135" spans="1:51" ht="12.75">
      <c r="A135" s="146" t="s">
        <v>269</v>
      </c>
      <c r="B135" s="17">
        <f>$O$131</f>
        <v>0</v>
      </c>
      <c r="C135" s="96" t="s">
        <v>9</v>
      </c>
      <c r="D135" s="147" t="s">
        <v>942</v>
      </c>
      <c r="E135" s="157"/>
      <c r="F135" s="44"/>
      <c r="G135" s="44"/>
      <c r="H135" s="44"/>
      <c r="I135" s="44"/>
      <c r="J135" s="76"/>
      <c r="N135" s="136" t="s">
        <v>962</v>
      </c>
      <c r="O135" s="75">
        <f>$O$28*12*($F$21/2)/$I$22</f>
        <v>0.09616349192874311</v>
      </c>
      <c r="P135" s="155" t="s">
        <v>9</v>
      </c>
      <c r="Q135" s="111" t="s">
        <v>973</v>
      </c>
      <c r="AH135" s="243" t="s">
        <v>433</v>
      </c>
      <c r="AI135" s="244">
        <v>98.4</v>
      </c>
      <c r="AJ135" s="244">
        <v>27.5</v>
      </c>
      <c r="AK135" s="244">
        <v>1.38</v>
      </c>
      <c r="AL135" s="244">
        <v>13.5</v>
      </c>
      <c r="AM135" s="244">
        <v>2.48</v>
      </c>
      <c r="AN135" s="244">
        <v>2.98</v>
      </c>
      <c r="AO135" s="245">
        <v>3.63</v>
      </c>
      <c r="AP135" s="245">
        <v>0.82</v>
      </c>
      <c r="AQ135" s="244">
        <v>11900</v>
      </c>
      <c r="AR135" s="244">
        <v>864</v>
      </c>
      <c r="AS135" s="244">
        <v>11</v>
      </c>
      <c r="AT135" s="244">
        <v>1030</v>
      </c>
      <c r="AU135" s="244">
        <v>152</v>
      </c>
      <c r="AV135" s="244">
        <v>3.23</v>
      </c>
      <c r="AW135" s="244">
        <v>152</v>
      </c>
      <c r="AX135" s="244">
        <v>161000</v>
      </c>
      <c r="AY135" s="246" t="s">
        <v>623</v>
      </c>
    </row>
    <row r="136" spans="1:54" ht="12.75">
      <c r="A136" s="146" t="s">
        <v>271</v>
      </c>
      <c r="B136" s="16">
        <f>$O$132</f>
        <v>14.895426015161428</v>
      </c>
      <c r="C136" s="96" t="s">
        <v>9</v>
      </c>
      <c r="D136" s="147" t="s">
        <v>282</v>
      </c>
      <c r="E136" s="157"/>
      <c r="F136" s="44"/>
      <c r="G136" s="44"/>
      <c r="H136" s="50"/>
      <c r="I136" s="44"/>
      <c r="J136" s="206" t="str">
        <f>IF($B$136&lt;=0.66*$C$12,"&lt;=","&gt;")&amp;" Fb = 0.66*Fy = "&amp;ROUND(0.66*$C$12,2)&amp;" ksi"&amp;IF($B$136&lt;=0.66*$C$12,", O.K.","")</f>
        <v>&lt;= Fb = 0.66*Fy = 23.76 ksi, O.K.</v>
      </c>
      <c r="N136" s="138" t="s">
        <v>256</v>
      </c>
      <c r="O136" s="74">
        <f>$O$134+$O$135+0.75*$O$118</f>
        <v>4.788371020131683</v>
      </c>
      <c r="P136" s="155" t="s">
        <v>9</v>
      </c>
      <c r="Q136" s="139" t="s">
        <v>976</v>
      </c>
      <c r="R136" s="111"/>
      <c r="AH136" s="243" t="s">
        <v>434</v>
      </c>
      <c r="AI136" s="244">
        <v>89.8</v>
      </c>
      <c r="AJ136" s="244">
        <v>27.1</v>
      </c>
      <c r="AK136" s="244">
        <v>1.26</v>
      </c>
      <c r="AL136" s="244">
        <v>13.4</v>
      </c>
      <c r="AM136" s="244">
        <v>2.28</v>
      </c>
      <c r="AN136" s="244">
        <v>2.78</v>
      </c>
      <c r="AO136" s="245">
        <v>3.6</v>
      </c>
      <c r="AP136" s="245">
        <v>0.89</v>
      </c>
      <c r="AQ136" s="244">
        <v>10700</v>
      </c>
      <c r="AR136" s="244">
        <v>789</v>
      </c>
      <c r="AS136" s="244">
        <v>10.9</v>
      </c>
      <c r="AT136" s="244">
        <v>919</v>
      </c>
      <c r="AU136" s="244">
        <v>137</v>
      </c>
      <c r="AV136" s="244">
        <v>3.2</v>
      </c>
      <c r="AW136" s="244">
        <v>117</v>
      </c>
      <c r="AX136" s="244">
        <v>142000</v>
      </c>
      <c r="AY136" s="246" t="s">
        <v>746</v>
      </c>
      <c r="BA136" s="204" t="s">
        <v>225</v>
      </c>
      <c r="BB136" s="205">
        <f>$B$136/(0.66*$C$12)</f>
        <v>0.6269118693249759</v>
      </c>
    </row>
    <row r="137" spans="1:51" ht="12.75">
      <c r="A137" s="175" t="s">
        <v>940</v>
      </c>
      <c r="B137" s="44"/>
      <c r="C137" s="44"/>
      <c r="D137" s="157"/>
      <c r="E137" s="157"/>
      <c r="F137" s="44"/>
      <c r="G137" s="44"/>
      <c r="H137" s="44"/>
      <c r="I137" s="44"/>
      <c r="J137" s="203"/>
      <c r="N137" s="138" t="s">
        <v>147</v>
      </c>
      <c r="O137" s="74">
        <f>0.75*$O$117</f>
        <v>6.44747262487674</v>
      </c>
      <c r="P137" s="155" t="s">
        <v>9</v>
      </c>
      <c r="Q137" s="139" t="s">
        <v>150</v>
      </c>
      <c r="R137" s="111"/>
      <c r="AH137" s="243" t="s">
        <v>435</v>
      </c>
      <c r="AI137" s="244">
        <v>82</v>
      </c>
      <c r="AJ137" s="244">
        <v>26.7</v>
      </c>
      <c r="AK137" s="244">
        <v>1.16</v>
      </c>
      <c r="AL137" s="244">
        <v>13.3</v>
      </c>
      <c r="AM137" s="244">
        <v>2.09</v>
      </c>
      <c r="AN137" s="244">
        <v>2.59</v>
      </c>
      <c r="AO137" s="245">
        <v>3.57</v>
      </c>
      <c r="AP137" s="245">
        <v>0.96</v>
      </c>
      <c r="AQ137" s="244">
        <v>9600</v>
      </c>
      <c r="AR137" s="244">
        <v>718</v>
      </c>
      <c r="AS137" s="244">
        <v>10.8</v>
      </c>
      <c r="AT137" s="244">
        <v>823</v>
      </c>
      <c r="AU137" s="244">
        <v>124</v>
      </c>
      <c r="AV137" s="244">
        <v>3.17</v>
      </c>
      <c r="AW137" s="244">
        <v>90.5</v>
      </c>
      <c r="AX137" s="244">
        <v>125000</v>
      </c>
      <c r="AY137" s="246" t="s">
        <v>747</v>
      </c>
    </row>
    <row r="138" spans="1:51" ht="12.75">
      <c r="A138" s="159" t="s">
        <v>961</v>
      </c>
      <c r="B138" s="15">
        <f>$O$134</f>
        <v>5.342674135183165</v>
      </c>
      <c r="C138" s="50"/>
      <c r="D138" s="44" t="s">
        <v>970</v>
      </c>
      <c r="E138" s="227"/>
      <c r="F138" s="44"/>
      <c r="G138" s="44"/>
      <c r="H138" s="44"/>
      <c r="I138" s="44"/>
      <c r="J138" s="76"/>
      <c r="N138" s="138" t="s">
        <v>257</v>
      </c>
      <c r="O138" s="74">
        <f>0</f>
        <v>0</v>
      </c>
      <c r="P138" s="155" t="s">
        <v>9</v>
      </c>
      <c r="Q138" s="139" t="s">
        <v>941</v>
      </c>
      <c r="R138" s="111"/>
      <c r="T138" s="78"/>
      <c r="AH138" s="243" t="s">
        <v>436</v>
      </c>
      <c r="AI138" s="244">
        <v>73.5</v>
      </c>
      <c r="AJ138" s="244">
        <v>26.3</v>
      </c>
      <c r="AK138" s="244">
        <v>1.04</v>
      </c>
      <c r="AL138" s="244">
        <v>13.2</v>
      </c>
      <c r="AM138" s="244">
        <v>1.89</v>
      </c>
      <c r="AN138" s="244">
        <v>2.39</v>
      </c>
      <c r="AO138" s="245">
        <v>3.53</v>
      </c>
      <c r="AP138" s="245">
        <v>1.06</v>
      </c>
      <c r="AQ138" s="244">
        <v>8490</v>
      </c>
      <c r="AR138" s="244">
        <v>644</v>
      </c>
      <c r="AS138" s="244">
        <v>10.7</v>
      </c>
      <c r="AT138" s="244">
        <v>724</v>
      </c>
      <c r="AU138" s="244">
        <v>110</v>
      </c>
      <c r="AV138" s="244">
        <v>3.14</v>
      </c>
      <c r="AW138" s="244">
        <v>66.6</v>
      </c>
      <c r="AX138" s="244">
        <v>108000</v>
      </c>
      <c r="AY138" s="246" t="s">
        <v>748</v>
      </c>
    </row>
    <row r="139" spans="1:51" ht="12.75">
      <c r="A139" s="159" t="s">
        <v>962</v>
      </c>
      <c r="B139" s="17">
        <f>$O$135</f>
        <v>0.09616349192874311</v>
      </c>
      <c r="C139" s="44"/>
      <c r="D139" s="157" t="s">
        <v>973</v>
      </c>
      <c r="E139" s="44"/>
      <c r="F139" s="44"/>
      <c r="G139" s="44"/>
      <c r="H139" s="44"/>
      <c r="I139" s="44"/>
      <c r="J139" s="76"/>
      <c r="N139" s="138" t="s">
        <v>231</v>
      </c>
      <c r="O139" s="74">
        <f>SQRT($O$137^2+$O$136^2-$O$137*$O$136+3*$O$138^2)</f>
        <v>5.798750658971271</v>
      </c>
      <c r="P139" s="155" t="s">
        <v>9</v>
      </c>
      <c r="Q139" s="139" t="s">
        <v>260</v>
      </c>
      <c r="R139" s="111"/>
      <c r="T139" s="78"/>
      <c r="AH139" s="243" t="s">
        <v>437</v>
      </c>
      <c r="AI139" s="244">
        <v>67.2</v>
      </c>
      <c r="AJ139" s="244">
        <v>26</v>
      </c>
      <c r="AK139" s="244">
        <v>0.96</v>
      </c>
      <c r="AL139" s="244">
        <v>13.1</v>
      </c>
      <c r="AM139" s="244">
        <v>1.73</v>
      </c>
      <c r="AN139" s="244">
        <v>2.23</v>
      </c>
      <c r="AO139" s="245">
        <v>3.51</v>
      </c>
      <c r="AP139" s="245">
        <v>1.15</v>
      </c>
      <c r="AQ139" s="244">
        <v>7650</v>
      </c>
      <c r="AR139" s="244">
        <v>588</v>
      </c>
      <c r="AS139" s="244">
        <v>10.7</v>
      </c>
      <c r="AT139" s="244">
        <v>651</v>
      </c>
      <c r="AU139" s="244">
        <v>99.4</v>
      </c>
      <c r="AV139" s="244">
        <v>3.11</v>
      </c>
      <c r="AW139" s="244">
        <v>51.3</v>
      </c>
      <c r="AX139" s="244">
        <v>96000</v>
      </c>
      <c r="AY139" s="246" t="s">
        <v>749</v>
      </c>
    </row>
    <row r="140" spans="1:51" ht="12.75">
      <c r="A140" s="146" t="s">
        <v>267</v>
      </c>
      <c r="B140" s="17">
        <f>$O$136</f>
        <v>4.788371020131683</v>
      </c>
      <c r="C140" s="96" t="s">
        <v>9</v>
      </c>
      <c r="D140" s="147" t="s">
        <v>966</v>
      </c>
      <c r="E140" s="157"/>
      <c r="F140" s="44"/>
      <c r="G140" s="44"/>
      <c r="H140" s="44"/>
      <c r="I140" s="44"/>
      <c r="J140" s="76"/>
      <c r="AH140" s="243" t="s">
        <v>438</v>
      </c>
      <c r="AI140" s="244">
        <v>60.7</v>
      </c>
      <c r="AJ140" s="244">
        <v>25.7</v>
      </c>
      <c r="AK140" s="244">
        <v>0.87</v>
      </c>
      <c r="AL140" s="244">
        <v>13</v>
      </c>
      <c r="AM140" s="244">
        <v>1.57</v>
      </c>
      <c r="AN140" s="244">
        <v>2.07</v>
      </c>
      <c r="AO140" s="245">
        <v>3.48</v>
      </c>
      <c r="AP140" s="245">
        <v>1.26</v>
      </c>
      <c r="AQ140" s="244">
        <v>6820</v>
      </c>
      <c r="AR140" s="244">
        <v>531</v>
      </c>
      <c r="AS140" s="244">
        <v>10.6</v>
      </c>
      <c r="AT140" s="244">
        <v>578</v>
      </c>
      <c r="AU140" s="244">
        <v>88.8</v>
      </c>
      <c r="AV140" s="244">
        <v>3.08</v>
      </c>
      <c r="AW140" s="244">
        <v>38.3</v>
      </c>
      <c r="AX140" s="244">
        <v>84200</v>
      </c>
      <c r="AY140" s="246" t="s">
        <v>750</v>
      </c>
    </row>
    <row r="141" spans="1:51" ht="12.75">
      <c r="A141" s="146" t="s">
        <v>268</v>
      </c>
      <c r="B141" s="17">
        <f>$O$137</f>
        <v>6.44747262487674</v>
      </c>
      <c r="C141" s="96" t="s">
        <v>9</v>
      </c>
      <c r="D141" s="147" t="s">
        <v>283</v>
      </c>
      <c r="E141" s="157"/>
      <c r="F141" s="44"/>
      <c r="G141" s="48"/>
      <c r="H141" s="44"/>
      <c r="I141" s="44"/>
      <c r="J141" s="76"/>
      <c r="AH141" s="243" t="s">
        <v>439</v>
      </c>
      <c r="AI141" s="244">
        <v>56.3</v>
      </c>
      <c r="AJ141" s="244">
        <v>25.5</v>
      </c>
      <c r="AK141" s="244">
        <v>0.81</v>
      </c>
      <c r="AL141" s="244">
        <v>13</v>
      </c>
      <c r="AM141" s="244">
        <v>1.46</v>
      </c>
      <c r="AN141" s="244">
        <v>1.96</v>
      </c>
      <c r="AO141" s="245">
        <v>3.46</v>
      </c>
      <c r="AP141" s="245">
        <v>1.35</v>
      </c>
      <c r="AQ141" s="244">
        <v>6260</v>
      </c>
      <c r="AR141" s="244">
        <v>491</v>
      </c>
      <c r="AS141" s="244">
        <v>10.5</v>
      </c>
      <c r="AT141" s="244">
        <v>530</v>
      </c>
      <c r="AU141" s="244">
        <v>81.8</v>
      </c>
      <c r="AV141" s="244">
        <v>3.07</v>
      </c>
      <c r="AW141" s="244">
        <v>30.8</v>
      </c>
      <c r="AX141" s="244">
        <v>76400</v>
      </c>
      <c r="AY141" s="246" t="s">
        <v>661</v>
      </c>
    </row>
    <row r="142" spans="1:51" ht="12.75">
      <c r="A142" s="146" t="s">
        <v>269</v>
      </c>
      <c r="B142" s="17">
        <f>$O$138</f>
        <v>0</v>
      </c>
      <c r="C142" s="96" t="s">
        <v>9</v>
      </c>
      <c r="D142" s="147" t="s">
        <v>942</v>
      </c>
      <c r="E142" s="157"/>
      <c r="F142" s="44"/>
      <c r="G142" s="44"/>
      <c r="H142" s="44"/>
      <c r="I142" s="44"/>
      <c r="J142" s="76"/>
      <c r="AH142" s="243" t="s">
        <v>440</v>
      </c>
      <c r="AI142" s="244">
        <v>51.7</v>
      </c>
      <c r="AJ142" s="244">
        <v>25.2</v>
      </c>
      <c r="AK142" s="244">
        <v>0.75</v>
      </c>
      <c r="AL142" s="244">
        <v>12.9</v>
      </c>
      <c r="AM142" s="244">
        <v>1.34</v>
      </c>
      <c r="AN142" s="244">
        <v>1.84</v>
      </c>
      <c r="AO142" s="245">
        <v>3.44</v>
      </c>
      <c r="AP142" s="245">
        <v>1.46</v>
      </c>
      <c r="AQ142" s="244">
        <v>5680</v>
      </c>
      <c r="AR142" s="244">
        <v>450</v>
      </c>
      <c r="AS142" s="244">
        <v>10.5</v>
      </c>
      <c r="AT142" s="244">
        <v>479</v>
      </c>
      <c r="AU142" s="244">
        <v>74.3</v>
      </c>
      <c r="AV142" s="244">
        <v>3.04</v>
      </c>
      <c r="AW142" s="244">
        <v>23.9</v>
      </c>
      <c r="AX142" s="244">
        <v>68400</v>
      </c>
      <c r="AY142" s="246" t="s">
        <v>751</v>
      </c>
    </row>
    <row r="143" spans="1:54" ht="12.75">
      <c r="A143" s="146" t="s">
        <v>272</v>
      </c>
      <c r="B143" s="16">
        <f>$O$139</f>
        <v>5.798750658971271</v>
      </c>
      <c r="C143" s="96" t="s">
        <v>9</v>
      </c>
      <c r="D143" s="147" t="s">
        <v>284</v>
      </c>
      <c r="E143" s="157"/>
      <c r="F143" s="44"/>
      <c r="G143" s="44"/>
      <c r="H143" s="50"/>
      <c r="I143" s="44"/>
      <c r="J143" s="206" t="str">
        <f>IF($B$143&lt;=0.66*$C$12,"&lt;=","&gt;")&amp;" Fb = 0.66*Fy = "&amp;ROUND(0.66*$C$12,2)&amp;" ksi"&amp;IF($B$143&lt;=0.66*$C$12,", O.K.","")</f>
        <v>&lt;= Fb = 0.66*Fy = 23.76 ksi, O.K.</v>
      </c>
      <c r="AH143" s="243" t="s">
        <v>441</v>
      </c>
      <c r="AI143" s="244">
        <v>47.7</v>
      </c>
      <c r="AJ143" s="244">
        <v>25</v>
      </c>
      <c r="AK143" s="244">
        <v>0.705</v>
      </c>
      <c r="AL143" s="244">
        <v>13</v>
      </c>
      <c r="AM143" s="244">
        <v>1.22</v>
      </c>
      <c r="AN143" s="244">
        <v>1.72</v>
      </c>
      <c r="AO143" s="245">
        <v>3.45</v>
      </c>
      <c r="AP143" s="245">
        <v>1.58</v>
      </c>
      <c r="AQ143" s="244">
        <v>5170</v>
      </c>
      <c r="AR143" s="244">
        <v>414</v>
      </c>
      <c r="AS143" s="244">
        <v>10.4</v>
      </c>
      <c r="AT143" s="244">
        <v>443</v>
      </c>
      <c r="AU143" s="244">
        <v>68.4</v>
      </c>
      <c r="AV143" s="244">
        <v>3.05</v>
      </c>
      <c r="AW143" s="244">
        <v>18.5</v>
      </c>
      <c r="AX143" s="244">
        <v>62600</v>
      </c>
      <c r="AY143" s="246" t="s">
        <v>752</v>
      </c>
      <c r="BA143" s="204" t="s">
        <v>225</v>
      </c>
      <c r="BB143" s="205">
        <f>$B$143/(0.66*$C$12)</f>
        <v>0.24405516241461578</v>
      </c>
    </row>
    <row r="144" spans="1:51" ht="12.75">
      <c r="A144" s="83"/>
      <c r="B144" s="44"/>
      <c r="C144" s="44"/>
      <c r="D144" s="44"/>
      <c r="E144" s="44"/>
      <c r="F144" s="44"/>
      <c r="G144" s="44"/>
      <c r="H144" s="44"/>
      <c r="I144" s="44"/>
      <c r="J144" s="203"/>
      <c r="AH144" s="243" t="s">
        <v>442</v>
      </c>
      <c r="AI144" s="244">
        <v>43</v>
      </c>
      <c r="AJ144" s="244">
        <v>24.7</v>
      </c>
      <c r="AK144" s="244">
        <v>0.65</v>
      </c>
      <c r="AL144" s="244">
        <v>12.9</v>
      </c>
      <c r="AM144" s="244">
        <v>1.09</v>
      </c>
      <c r="AN144" s="244">
        <v>1.59</v>
      </c>
      <c r="AO144" s="245">
        <v>3.43</v>
      </c>
      <c r="AP144" s="245">
        <v>1.76</v>
      </c>
      <c r="AQ144" s="244">
        <v>4580</v>
      </c>
      <c r="AR144" s="244">
        <v>371</v>
      </c>
      <c r="AS144" s="244">
        <v>10.3</v>
      </c>
      <c r="AT144" s="244">
        <v>391</v>
      </c>
      <c r="AU144" s="244">
        <v>60.5</v>
      </c>
      <c r="AV144" s="244">
        <v>3.01</v>
      </c>
      <c r="AW144" s="244">
        <v>13.4</v>
      </c>
      <c r="AX144" s="244">
        <v>54700</v>
      </c>
      <c r="AY144" s="246" t="s">
        <v>736</v>
      </c>
    </row>
    <row r="145" spans="1:51" ht="12.75">
      <c r="A145" s="83"/>
      <c r="B145" s="44"/>
      <c r="C145" s="44"/>
      <c r="D145" s="44"/>
      <c r="E145" s="44"/>
      <c r="F145" s="44"/>
      <c r="G145" s="44"/>
      <c r="H145" s="44"/>
      <c r="I145" s="44"/>
      <c r="J145" s="76"/>
      <c r="AH145" s="243" t="s">
        <v>443</v>
      </c>
      <c r="AI145" s="244">
        <v>38.5</v>
      </c>
      <c r="AJ145" s="244">
        <v>24.5</v>
      </c>
      <c r="AK145" s="244">
        <v>0.605</v>
      </c>
      <c r="AL145" s="244">
        <v>12.9</v>
      </c>
      <c r="AM145" s="244">
        <v>0.96</v>
      </c>
      <c r="AN145" s="244">
        <v>1.46</v>
      </c>
      <c r="AO145" s="245">
        <v>3.4</v>
      </c>
      <c r="AP145" s="245">
        <v>1.98</v>
      </c>
      <c r="AQ145" s="244">
        <v>4020</v>
      </c>
      <c r="AR145" s="244">
        <v>329</v>
      </c>
      <c r="AS145" s="244">
        <v>10.2</v>
      </c>
      <c r="AT145" s="244">
        <v>340</v>
      </c>
      <c r="AU145" s="244">
        <v>53</v>
      </c>
      <c r="AV145" s="244">
        <v>2.97</v>
      </c>
      <c r="AW145" s="244">
        <v>9.5</v>
      </c>
      <c r="AX145" s="244">
        <v>47000</v>
      </c>
      <c r="AY145" s="246" t="s">
        <v>753</v>
      </c>
    </row>
    <row r="146" spans="1:51" ht="12.75">
      <c r="A146" s="83"/>
      <c r="B146" s="44"/>
      <c r="C146" s="44"/>
      <c r="D146" s="44"/>
      <c r="E146" s="44"/>
      <c r="F146" s="44"/>
      <c r="G146" s="44"/>
      <c r="H146" s="44"/>
      <c r="I146" s="44"/>
      <c r="J146" s="76"/>
      <c r="AH146" s="243" t="s">
        <v>444</v>
      </c>
      <c r="AI146" s="244">
        <v>34.4</v>
      </c>
      <c r="AJ146" s="244">
        <v>24.3</v>
      </c>
      <c r="AK146" s="244">
        <v>0.55</v>
      </c>
      <c r="AL146" s="244">
        <v>12.8</v>
      </c>
      <c r="AM146" s="244">
        <v>0.85</v>
      </c>
      <c r="AN146" s="244">
        <v>1.35</v>
      </c>
      <c r="AO146" s="245">
        <v>3.37</v>
      </c>
      <c r="AP146" s="245">
        <v>2.23</v>
      </c>
      <c r="AQ146" s="244">
        <v>3540</v>
      </c>
      <c r="AR146" s="244">
        <v>291</v>
      </c>
      <c r="AS146" s="244">
        <v>10.1</v>
      </c>
      <c r="AT146" s="244">
        <v>297</v>
      </c>
      <c r="AU146" s="244">
        <v>46.5</v>
      </c>
      <c r="AV146" s="244">
        <v>2.94</v>
      </c>
      <c r="AW146" s="244">
        <v>6.72</v>
      </c>
      <c r="AX146" s="244">
        <v>40700</v>
      </c>
      <c r="AY146" s="246" t="s">
        <v>754</v>
      </c>
    </row>
    <row r="147" spans="1:51" ht="12.75">
      <c r="A147" s="83"/>
      <c r="B147" s="44"/>
      <c r="C147" s="44"/>
      <c r="D147" s="44"/>
      <c r="E147" s="44"/>
      <c r="F147" s="44"/>
      <c r="G147" s="44"/>
      <c r="H147" s="44"/>
      <c r="I147" s="44"/>
      <c r="J147" s="76"/>
      <c r="AH147" s="243" t="s">
        <v>445</v>
      </c>
      <c r="AI147" s="244">
        <v>30.6</v>
      </c>
      <c r="AJ147" s="244">
        <v>24.1</v>
      </c>
      <c r="AK147" s="244">
        <v>0.5</v>
      </c>
      <c r="AL147" s="244">
        <v>12.8</v>
      </c>
      <c r="AM147" s="244">
        <v>0.75</v>
      </c>
      <c r="AN147" s="244">
        <v>1.25</v>
      </c>
      <c r="AO147" s="245">
        <v>3.35</v>
      </c>
      <c r="AP147" s="245">
        <v>2.52</v>
      </c>
      <c r="AQ147" s="244">
        <v>3100</v>
      </c>
      <c r="AR147" s="244">
        <v>258</v>
      </c>
      <c r="AS147" s="244">
        <v>10.1</v>
      </c>
      <c r="AT147" s="244">
        <v>259</v>
      </c>
      <c r="AU147" s="244">
        <v>40.7</v>
      </c>
      <c r="AV147" s="244">
        <v>2.91</v>
      </c>
      <c r="AW147" s="244">
        <v>4.72</v>
      </c>
      <c r="AX147" s="244">
        <v>35200</v>
      </c>
      <c r="AY147" s="246" t="s">
        <v>755</v>
      </c>
    </row>
    <row r="148" spans="1:51" ht="12.75">
      <c r="A148" s="83"/>
      <c r="B148" s="44"/>
      <c r="C148" s="44"/>
      <c r="D148" s="44"/>
      <c r="E148" s="44"/>
      <c r="F148" s="44"/>
      <c r="G148" s="44"/>
      <c r="H148" s="44"/>
      <c r="I148" s="44"/>
      <c r="J148" s="76"/>
      <c r="AH148" s="243" t="s">
        <v>446</v>
      </c>
      <c r="AI148" s="244">
        <v>30.3</v>
      </c>
      <c r="AJ148" s="244">
        <v>24.5</v>
      </c>
      <c r="AK148" s="244">
        <v>0.55</v>
      </c>
      <c r="AL148" s="244">
        <v>9</v>
      </c>
      <c r="AM148" s="244">
        <v>0.98</v>
      </c>
      <c r="AN148" s="244">
        <v>1.48</v>
      </c>
      <c r="AO148" s="245">
        <v>2.33</v>
      </c>
      <c r="AP148" s="245">
        <v>2.78</v>
      </c>
      <c r="AQ148" s="244">
        <v>3000</v>
      </c>
      <c r="AR148" s="244">
        <v>245</v>
      </c>
      <c r="AS148" s="244">
        <v>9.96</v>
      </c>
      <c r="AT148" s="244">
        <v>119</v>
      </c>
      <c r="AU148" s="244">
        <v>26.5</v>
      </c>
      <c r="AV148" s="244">
        <v>1.99</v>
      </c>
      <c r="AW148" s="244">
        <v>7.07</v>
      </c>
      <c r="AX148" s="244">
        <v>16500</v>
      </c>
      <c r="AY148" s="246" t="s">
        <v>756</v>
      </c>
    </row>
    <row r="149" spans="1:51" ht="12.75">
      <c r="A149" s="83"/>
      <c r="B149" s="44"/>
      <c r="C149" s="44"/>
      <c r="D149" s="44"/>
      <c r="E149" s="44"/>
      <c r="F149" s="44"/>
      <c r="G149" s="44"/>
      <c r="H149" s="44"/>
      <c r="I149" s="44"/>
      <c r="J149" s="76"/>
      <c r="AH149" s="243" t="s">
        <v>447</v>
      </c>
      <c r="AI149" s="244">
        <v>27.7</v>
      </c>
      <c r="AJ149" s="244">
        <v>24.3</v>
      </c>
      <c r="AK149" s="244">
        <v>0.515</v>
      </c>
      <c r="AL149" s="244">
        <v>9.07</v>
      </c>
      <c r="AM149" s="244">
        <v>0.875</v>
      </c>
      <c r="AN149" s="244">
        <v>1.38</v>
      </c>
      <c r="AO149" s="245">
        <v>2.33</v>
      </c>
      <c r="AP149" s="245">
        <v>3.06</v>
      </c>
      <c r="AQ149" s="244">
        <v>2700</v>
      </c>
      <c r="AR149" s="244">
        <v>222</v>
      </c>
      <c r="AS149" s="244">
        <v>9.87</v>
      </c>
      <c r="AT149" s="244">
        <v>109</v>
      </c>
      <c r="AU149" s="244">
        <v>24</v>
      </c>
      <c r="AV149" s="244">
        <v>1.98</v>
      </c>
      <c r="AW149" s="244">
        <v>5.26</v>
      </c>
      <c r="AX149" s="244">
        <v>15000</v>
      </c>
      <c r="AY149" s="246" t="s">
        <v>740</v>
      </c>
    </row>
    <row r="150" spans="1:51" ht="12.75">
      <c r="A150" s="83"/>
      <c r="B150" s="44"/>
      <c r="C150" s="44"/>
      <c r="D150" s="44"/>
      <c r="E150" s="44"/>
      <c r="F150" s="44"/>
      <c r="G150" s="44"/>
      <c r="H150" s="44"/>
      <c r="I150" s="44"/>
      <c r="J150" s="76"/>
      <c r="AH150" s="243" t="s">
        <v>448</v>
      </c>
      <c r="AI150" s="244">
        <v>24.7</v>
      </c>
      <c r="AJ150" s="244">
        <v>24.1</v>
      </c>
      <c r="AK150" s="244">
        <v>0.47</v>
      </c>
      <c r="AL150" s="244">
        <v>9.02</v>
      </c>
      <c r="AM150" s="244">
        <v>0.77</v>
      </c>
      <c r="AN150" s="244">
        <v>1.27</v>
      </c>
      <c r="AO150" s="245">
        <v>2.31</v>
      </c>
      <c r="AP150" s="245">
        <v>3.47</v>
      </c>
      <c r="AQ150" s="244">
        <v>2370</v>
      </c>
      <c r="AR150" s="244">
        <v>196</v>
      </c>
      <c r="AS150" s="244">
        <v>9.79</v>
      </c>
      <c r="AT150" s="244">
        <v>94.4</v>
      </c>
      <c r="AU150" s="244">
        <v>20.9</v>
      </c>
      <c r="AV150" s="244">
        <v>1.95</v>
      </c>
      <c r="AW150" s="244">
        <v>3.7</v>
      </c>
      <c r="AX150" s="244">
        <v>12800</v>
      </c>
      <c r="AY150" s="246" t="s">
        <v>741</v>
      </c>
    </row>
    <row r="151" spans="1:51" ht="12.75">
      <c r="A151" s="83"/>
      <c r="B151" s="44"/>
      <c r="C151" s="44"/>
      <c r="D151" s="44"/>
      <c r="E151" s="44"/>
      <c r="F151" s="44"/>
      <c r="G151" s="44"/>
      <c r="H151" s="44"/>
      <c r="I151" s="44"/>
      <c r="J151" s="76"/>
      <c r="AH151" s="243" t="s">
        <v>449</v>
      </c>
      <c r="AI151" s="244">
        <v>22.4</v>
      </c>
      <c r="AJ151" s="244">
        <v>23.9</v>
      </c>
      <c r="AK151" s="244">
        <v>0.44</v>
      </c>
      <c r="AL151" s="244">
        <v>8.99</v>
      </c>
      <c r="AM151" s="244">
        <v>0.68</v>
      </c>
      <c r="AN151" s="244">
        <v>1.18</v>
      </c>
      <c r="AO151" s="245">
        <v>2.29</v>
      </c>
      <c r="AP151" s="245">
        <v>3.91</v>
      </c>
      <c r="AQ151" s="244">
        <v>2100</v>
      </c>
      <c r="AR151" s="244">
        <v>176</v>
      </c>
      <c r="AS151" s="244">
        <v>9.69</v>
      </c>
      <c r="AT151" s="244">
        <v>82.5</v>
      </c>
      <c r="AU151" s="244">
        <v>18.4</v>
      </c>
      <c r="AV151" s="244">
        <v>1.92</v>
      </c>
      <c r="AW151" s="244">
        <v>2.68</v>
      </c>
      <c r="AX151" s="244">
        <v>11100</v>
      </c>
      <c r="AY151" s="246" t="s">
        <v>757</v>
      </c>
    </row>
    <row r="152" spans="1:51" ht="12.75">
      <c r="A152" s="83"/>
      <c r="B152" s="44"/>
      <c r="C152" s="44"/>
      <c r="D152" s="44"/>
      <c r="E152" s="44"/>
      <c r="F152" s="44"/>
      <c r="G152" s="44"/>
      <c r="H152" s="44"/>
      <c r="I152" s="44"/>
      <c r="J152" s="76"/>
      <c r="AH152" s="243" t="s">
        <v>450</v>
      </c>
      <c r="AI152" s="244">
        <v>20.1</v>
      </c>
      <c r="AJ152" s="244">
        <v>23.7</v>
      </c>
      <c r="AK152" s="244">
        <v>0.415</v>
      </c>
      <c r="AL152" s="244">
        <v>8.97</v>
      </c>
      <c r="AM152" s="244">
        <v>0.585</v>
      </c>
      <c r="AN152" s="244">
        <v>1.09</v>
      </c>
      <c r="AO152" s="245">
        <v>2.26</v>
      </c>
      <c r="AP152" s="245">
        <v>4.52</v>
      </c>
      <c r="AQ152" s="244">
        <v>1830</v>
      </c>
      <c r="AR152" s="244">
        <v>154</v>
      </c>
      <c r="AS152" s="244">
        <v>9.55</v>
      </c>
      <c r="AT152" s="244">
        <v>70.4</v>
      </c>
      <c r="AU152" s="244">
        <v>15.7</v>
      </c>
      <c r="AV152" s="244">
        <v>1.87</v>
      </c>
      <c r="AW152" s="244">
        <v>1.87</v>
      </c>
      <c r="AX152" s="244">
        <v>9430</v>
      </c>
      <c r="AY152" s="246" t="s">
        <v>758</v>
      </c>
    </row>
    <row r="153" spans="1:51" ht="12.75">
      <c r="A153" s="83"/>
      <c r="B153" s="44"/>
      <c r="C153" s="44"/>
      <c r="D153" s="44"/>
      <c r="E153" s="44"/>
      <c r="F153" s="44"/>
      <c r="G153" s="44"/>
      <c r="H153" s="44"/>
      <c r="I153" s="44"/>
      <c r="J153" s="76"/>
      <c r="AH153" s="243" t="s">
        <v>451</v>
      </c>
      <c r="AI153" s="244">
        <v>18.3</v>
      </c>
      <c r="AJ153" s="244">
        <v>23.7</v>
      </c>
      <c r="AK153" s="244">
        <v>0.43</v>
      </c>
      <c r="AL153" s="244">
        <v>7.04</v>
      </c>
      <c r="AM153" s="244">
        <v>0.59</v>
      </c>
      <c r="AN153" s="244">
        <v>1.19</v>
      </c>
      <c r="AO153" s="245">
        <v>1.71</v>
      </c>
      <c r="AP153" s="245">
        <v>5.72</v>
      </c>
      <c r="AQ153" s="244">
        <v>1560</v>
      </c>
      <c r="AR153" s="244">
        <v>132</v>
      </c>
      <c r="AS153" s="244">
        <v>9.24</v>
      </c>
      <c r="AT153" s="244">
        <v>34.5</v>
      </c>
      <c r="AU153" s="244">
        <v>9.8</v>
      </c>
      <c r="AV153" s="244">
        <v>1.37</v>
      </c>
      <c r="AW153" s="244">
        <v>1.77</v>
      </c>
      <c r="AX153" s="244">
        <v>4620</v>
      </c>
      <c r="AY153" s="246" t="s">
        <v>759</v>
      </c>
    </row>
    <row r="154" spans="1:51" ht="12.75">
      <c r="A154" s="83"/>
      <c r="B154" s="44"/>
      <c r="C154" s="44"/>
      <c r="D154" s="44"/>
      <c r="E154" s="44"/>
      <c r="F154" s="44"/>
      <c r="G154" s="44"/>
      <c r="H154" s="44"/>
      <c r="I154" s="44"/>
      <c r="J154" s="76"/>
      <c r="AH154" s="243" t="s">
        <v>452</v>
      </c>
      <c r="AI154" s="244">
        <v>16.3</v>
      </c>
      <c r="AJ154" s="244">
        <v>23.6</v>
      </c>
      <c r="AK154" s="244">
        <v>0.395</v>
      </c>
      <c r="AL154" s="244">
        <v>7.01</v>
      </c>
      <c r="AM154" s="244">
        <v>0.505</v>
      </c>
      <c r="AN154" s="244">
        <v>1.11</v>
      </c>
      <c r="AO154" s="245">
        <v>1.68</v>
      </c>
      <c r="AP154" s="245">
        <v>6.66</v>
      </c>
      <c r="AQ154" s="244">
        <v>1360</v>
      </c>
      <c r="AR154" s="244">
        <v>115</v>
      </c>
      <c r="AS154" s="244">
        <v>9.13</v>
      </c>
      <c r="AT154" s="244">
        <v>29.1</v>
      </c>
      <c r="AU154" s="244">
        <v>8.3</v>
      </c>
      <c r="AV154" s="244">
        <v>1.34</v>
      </c>
      <c r="AW154" s="244">
        <v>1.24</v>
      </c>
      <c r="AX154" s="244">
        <v>3870</v>
      </c>
      <c r="AY154" s="246" t="s">
        <v>760</v>
      </c>
    </row>
    <row r="155" spans="1:51" ht="12.75">
      <c r="A155" s="83"/>
      <c r="B155" s="44"/>
      <c r="C155" s="44"/>
      <c r="D155" s="44"/>
      <c r="E155" s="44"/>
      <c r="F155" s="44"/>
      <c r="G155" s="44"/>
      <c r="H155" s="44"/>
      <c r="I155" s="44"/>
      <c r="J155" s="76"/>
      <c r="AH155" s="243" t="s">
        <v>453</v>
      </c>
      <c r="AI155" s="245">
        <v>118</v>
      </c>
      <c r="AJ155" s="245">
        <v>26.02</v>
      </c>
      <c r="AK155" s="245">
        <v>1.73</v>
      </c>
      <c r="AL155" s="247">
        <v>13.405</v>
      </c>
      <c r="AM155" s="245">
        <v>3.13</v>
      </c>
      <c r="AN155" s="245">
        <v>3.875</v>
      </c>
      <c r="AO155" s="245">
        <v>3.63</v>
      </c>
      <c r="AP155" s="245">
        <v>0.62</v>
      </c>
      <c r="AQ155" s="245">
        <v>12200</v>
      </c>
      <c r="AR155" s="245">
        <v>937</v>
      </c>
      <c r="AS155" s="245">
        <v>10.2</v>
      </c>
      <c r="AT155" s="245">
        <v>1270</v>
      </c>
      <c r="AU155" s="245">
        <v>189</v>
      </c>
      <c r="AV155" s="245">
        <v>3.27</v>
      </c>
      <c r="AW155" s="245">
        <v>297</v>
      </c>
      <c r="AX155" s="245">
        <v>165000</v>
      </c>
      <c r="AY155" s="246" t="s">
        <v>761</v>
      </c>
    </row>
    <row r="156" spans="1:51" ht="12.75">
      <c r="A156" s="83"/>
      <c r="B156" s="44"/>
      <c r="C156" s="44"/>
      <c r="D156" s="44"/>
      <c r="E156" s="44"/>
      <c r="F156" s="44"/>
      <c r="G156" s="44"/>
      <c r="H156" s="44"/>
      <c r="I156" s="44"/>
      <c r="J156" s="76"/>
      <c r="AH156" s="243" t="s">
        <v>454</v>
      </c>
      <c r="AI156" s="245">
        <v>107</v>
      </c>
      <c r="AJ156" s="245">
        <v>25.47</v>
      </c>
      <c r="AK156" s="245">
        <v>1.59</v>
      </c>
      <c r="AL156" s="247">
        <v>13.265</v>
      </c>
      <c r="AM156" s="245">
        <v>2.85</v>
      </c>
      <c r="AN156" s="245">
        <v>3.625</v>
      </c>
      <c r="AO156" s="245">
        <v>3.59</v>
      </c>
      <c r="AP156" s="245">
        <v>0.67</v>
      </c>
      <c r="AQ156" s="245">
        <v>10800</v>
      </c>
      <c r="AR156" s="245">
        <v>846</v>
      </c>
      <c r="AS156" s="245">
        <v>10</v>
      </c>
      <c r="AT156" s="245">
        <v>1120</v>
      </c>
      <c r="AU156" s="245">
        <v>168</v>
      </c>
      <c r="AV156" s="245">
        <v>3.23</v>
      </c>
      <c r="AW156" s="245">
        <v>225</v>
      </c>
      <c r="AX156" s="245">
        <v>142000</v>
      </c>
      <c r="AY156" s="246" t="s">
        <v>762</v>
      </c>
    </row>
    <row r="157" spans="1:51" ht="12.75">
      <c r="A157" s="83"/>
      <c r="B157" s="44"/>
      <c r="C157" s="44"/>
      <c r="D157" s="44"/>
      <c r="E157" s="44"/>
      <c r="F157" s="44"/>
      <c r="G157" s="44"/>
      <c r="H157" s="44"/>
      <c r="I157" s="44"/>
      <c r="J157" s="76"/>
      <c r="AH157" s="243" t="s">
        <v>455</v>
      </c>
      <c r="AI157" s="245">
        <v>97.9</v>
      </c>
      <c r="AJ157" s="245">
        <v>25</v>
      </c>
      <c r="AK157" s="245">
        <v>1.46</v>
      </c>
      <c r="AL157" s="249">
        <v>13.13</v>
      </c>
      <c r="AM157" s="245">
        <v>2.62</v>
      </c>
      <c r="AN157" s="245">
        <v>3.375</v>
      </c>
      <c r="AO157" s="245">
        <v>3.55</v>
      </c>
      <c r="AP157" s="245">
        <v>0.73</v>
      </c>
      <c r="AQ157" s="245">
        <v>9610</v>
      </c>
      <c r="AR157" s="245">
        <v>769</v>
      </c>
      <c r="AS157" s="245">
        <v>9.91</v>
      </c>
      <c r="AT157" s="245">
        <v>994</v>
      </c>
      <c r="AU157" s="245">
        <v>151</v>
      </c>
      <c r="AV157" s="245">
        <v>3.19</v>
      </c>
      <c r="AW157" s="245">
        <v>174</v>
      </c>
      <c r="AX157" s="245">
        <v>124000</v>
      </c>
      <c r="AY157" s="246" t="s">
        <v>763</v>
      </c>
    </row>
    <row r="158" spans="1:51" ht="12.75">
      <c r="A158" s="83"/>
      <c r="B158" s="44"/>
      <c r="C158" s="44"/>
      <c r="D158" s="44"/>
      <c r="E158" s="44"/>
      <c r="F158" s="44"/>
      <c r="G158" s="44"/>
      <c r="H158" s="44"/>
      <c r="I158" s="44"/>
      <c r="J158" s="76"/>
      <c r="AH158" s="243" t="s">
        <v>456</v>
      </c>
      <c r="AI158" s="245">
        <v>88.2</v>
      </c>
      <c r="AJ158" s="245">
        <v>24.53</v>
      </c>
      <c r="AK158" s="245">
        <v>1.32</v>
      </c>
      <c r="AL158" s="249">
        <v>12.99</v>
      </c>
      <c r="AM158" s="245">
        <v>2.38</v>
      </c>
      <c r="AN158" s="245">
        <v>3.125</v>
      </c>
      <c r="AO158" s="245">
        <v>3.51</v>
      </c>
      <c r="AP158" s="245">
        <v>0.78</v>
      </c>
      <c r="AQ158" s="245">
        <v>8480</v>
      </c>
      <c r="AR158" s="245">
        <v>692</v>
      </c>
      <c r="AS158" s="245">
        <v>9.81</v>
      </c>
      <c r="AT158" s="245">
        <v>873</v>
      </c>
      <c r="AU158" s="245">
        <v>134</v>
      </c>
      <c r="AV158" s="245">
        <v>3.15</v>
      </c>
      <c r="AW158" s="245">
        <v>130</v>
      </c>
      <c r="AX158" s="245">
        <v>107000</v>
      </c>
      <c r="AY158" s="246" t="s">
        <v>676</v>
      </c>
    </row>
    <row r="159" spans="1:51" ht="12.75">
      <c r="A159" s="83"/>
      <c r="B159" s="44"/>
      <c r="C159" s="44"/>
      <c r="D159" s="44"/>
      <c r="E159" s="44"/>
      <c r="F159" s="44"/>
      <c r="G159" s="44"/>
      <c r="H159" s="44"/>
      <c r="I159" s="44"/>
      <c r="J159" s="76"/>
      <c r="AH159" s="243" t="s">
        <v>457</v>
      </c>
      <c r="AI159" s="245">
        <v>80.8</v>
      </c>
      <c r="AJ159" s="245">
        <v>24.13</v>
      </c>
      <c r="AK159" s="245">
        <v>1.22</v>
      </c>
      <c r="AL159" s="249">
        <v>12.89</v>
      </c>
      <c r="AM159" s="245">
        <v>2.19</v>
      </c>
      <c r="AN159" s="245">
        <v>3</v>
      </c>
      <c r="AO159" s="245">
        <v>3.48</v>
      </c>
      <c r="AP159" s="245">
        <v>0.85</v>
      </c>
      <c r="AQ159" s="245">
        <v>7620</v>
      </c>
      <c r="AR159" s="245">
        <v>632</v>
      </c>
      <c r="AS159" s="245">
        <v>9.71</v>
      </c>
      <c r="AT159" s="245">
        <v>785</v>
      </c>
      <c r="AU159" s="245">
        <v>122</v>
      </c>
      <c r="AV159" s="245">
        <v>3.12</v>
      </c>
      <c r="AW159" s="245">
        <v>101</v>
      </c>
      <c r="AX159" s="245">
        <v>94100</v>
      </c>
      <c r="AY159" s="246" t="s">
        <v>764</v>
      </c>
    </row>
    <row r="160" spans="1:51" ht="12.75">
      <c r="A160" s="83"/>
      <c r="B160" s="44"/>
      <c r="C160" s="44"/>
      <c r="D160" s="44"/>
      <c r="E160" s="44"/>
      <c r="F160" s="44"/>
      <c r="G160" s="44"/>
      <c r="H160" s="44"/>
      <c r="I160" s="44"/>
      <c r="J160" s="76"/>
      <c r="AH160" s="243" t="s">
        <v>458</v>
      </c>
      <c r="AI160" s="245">
        <v>72.8</v>
      </c>
      <c r="AJ160" s="245">
        <v>23.74</v>
      </c>
      <c r="AK160" s="245">
        <v>1.1</v>
      </c>
      <c r="AL160" s="247">
        <v>12.775</v>
      </c>
      <c r="AM160" s="245">
        <v>1.99</v>
      </c>
      <c r="AN160" s="245">
        <v>2.75</v>
      </c>
      <c r="AO160" s="245">
        <v>3.45</v>
      </c>
      <c r="AP160" s="245">
        <v>0.94</v>
      </c>
      <c r="AQ160" s="245">
        <v>6760</v>
      </c>
      <c r="AR160" s="245">
        <v>569</v>
      </c>
      <c r="AS160" s="245">
        <v>9.63</v>
      </c>
      <c r="AT160" s="245">
        <v>694</v>
      </c>
      <c r="AU160" s="245">
        <v>109</v>
      </c>
      <c r="AV160" s="245">
        <v>3.09</v>
      </c>
      <c r="AW160" s="245">
        <v>75.2</v>
      </c>
      <c r="AX160" s="245">
        <v>81800</v>
      </c>
      <c r="AY160" s="246" t="s">
        <v>627</v>
      </c>
    </row>
    <row r="161" spans="1:51" ht="12.75">
      <c r="A161" s="83"/>
      <c r="B161" s="44"/>
      <c r="C161" s="44"/>
      <c r="D161" s="44"/>
      <c r="E161" s="44"/>
      <c r="F161" s="44"/>
      <c r="G161" s="44"/>
      <c r="H161" s="44"/>
      <c r="I161" s="44"/>
      <c r="J161" s="76"/>
      <c r="AH161" s="243" t="s">
        <v>459</v>
      </c>
      <c r="AI161" s="245">
        <v>65.4</v>
      </c>
      <c r="AJ161" s="245">
        <v>23.35</v>
      </c>
      <c r="AK161" s="245">
        <v>1</v>
      </c>
      <c r="AL161" s="247">
        <v>12.675</v>
      </c>
      <c r="AM161" s="245">
        <v>1.79</v>
      </c>
      <c r="AN161" s="245">
        <v>2.5625</v>
      </c>
      <c r="AO161" s="245">
        <v>3.41</v>
      </c>
      <c r="AP161" s="245">
        <v>1.02</v>
      </c>
      <c r="AQ161" s="245">
        <v>5950</v>
      </c>
      <c r="AR161" s="245">
        <v>510</v>
      </c>
      <c r="AS161" s="245">
        <v>9.54</v>
      </c>
      <c r="AT161" s="245">
        <v>609</v>
      </c>
      <c r="AU161" s="245">
        <v>96.1</v>
      </c>
      <c r="AV161" s="245">
        <v>3.05</v>
      </c>
      <c r="AW161" s="245">
        <v>54.9</v>
      </c>
      <c r="AX161" s="245">
        <v>70600</v>
      </c>
      <c r="AY161" s="246" t="s">
        <v>765</v>
      </c>
    </row>
    <row r="162" spans="1:51" ht="12.75">
      <c r="A162" s="83"/>
      <c r="B162" s="44"/>
      <c r="C162" s="44"/>
      <c r="D162" s="44"/>
      <c r="E162" s="44"/>
      <c r="F162" s="44"/>
      <c r="G162" s="44"/>
      <c r="H162" s="44"/>
      <c r="I162" s="44"/>
      <c r="J162" s="76"/>
      <c r="AH162" s="243" t="s">
        <v>460</v>
      </c>
      <c r="AI162" s="244">
        <v>59.2</v>
      </c>
      <c r="AJ162" s="244">
        <v>23</v>
      </c>
      <c r="AK162" s="244">
        <v>0.91</v>
      </c>
      <c r="AL162" s="244">
        <v>12.6</v>
      </c>
      <c r="AM162" s="244">
        <v>1.63</v>
      </c>
      <c r="AN162" s="244">
        <v>2.13</v>
      </c>
      <c r="AO162" s="245">
        <v>3.38</v>
      </c>
      <c r="AP162" s="245">
        <v>1.12</v>
      </c>
      <c r="AQ162" s="244">
        <v>5310</v>
      </c>
      <c r="AR162" s="244">
        <v>461</v>
      </c>
      <c r="AS162" s="244">
        <v>9.47</v>
      </c>
      <c r="AT162" s="244">
        <v>542</v>
      </c>
      <c r="AU162" s="244">
        <v>86.1</v>
      </c>
      <c r="AV162" s="244">
        <v>3.02</v>
      </c>
      <c r="AW162" s="244">
        <v>40.9</v>
      </c>
      <c r="AX162" s="244">
        <v>62100</v>
      </c>
      <c r="AY162" s="246" t="s">
        <v>700</v>
      </c>
    </row>
    <row r="163" spans="1:51" ht="12.75">
      <c r="A163" s="83"/>
      <c r="B163" s="44"/>
      <c r="C163" s="44"/>
      <c r="D163" s="44"/>
      <c r="E163" s="44"/>
      <c r="F163" s="44"/>
      <c r="G163" s="44"/>
      <c r="H163" s="44"/>
      <c r="I163" s="44"/>
      <c r="J163" s="76"/>
      <c r="AH163" s="243" t="s">
        <v>462</v>
      </c>
      <c r="AI163" s="244">
        <v>53.6</v>
      </c>
      <c r="AJ163" s="244">
        <v>22.7</v>
      </c>
      <c r="AK163" s="244">
        <v>0.83</v>
      </c>
      <c r="AL163" s="244">
        <v>12.5</v>
      </c>
      <c r="AM163" s="244">
        <v>1.48</v>
      </c>
      <c r="AN163" s="244">
        <v>1.98</v>
      </c>
      <c r="AO163" s="245">
        <v>3.36</v>
      </c>
      <c r="AP163" s="245">
        <v>1.23</v>
      </c>
      <c r="AQ163" s="244">
        <v>4730</v>
      </c>
      <c r="AR163" s="244">
        <v>417</v>
      </c>
      <c r="AS163" s="244">
        <v>9.4</v>
      </c>
      <c r="AT163" s="244">
        <v>483</v>
      </c>
      <c r="AU163" s="244">
        <v>77.2</v>
      </c>
      <c r="AV163" s="244">
        <v>3</v>
      </c>
      <c r="AW163" s="244">
        <v>30.7</v>
      </c>
      <c r="AX163" s="244">
        <v>54500</v>
      </c>
      <c r="AY163" s="246" t="s">
        <v>684</v>
      </c>
    </row>
    <row r="164" spans="1:51" ht="12.75">
      <c r="A164" s="83"/>
      <c r="B164" s="44"/>
      <c r="C164" s="44"/>
      <c r="D164" s="44"/>
      <c r="E164" s="44"/>
      <c r="F164" s="44"/>
      <c r="G164" s="44"/>
      <c r="H164" s="44"/>
      <c r="I164" s="44"/>
      <c r="J164" s="76"/>
      <c r="AH164" s="243" t="s">
        <v>463</v>
      </c>
      <c r="AI164" s="244">
        <v>48.8</v>
      </c>
      <c r="AJ164" s="244">
        <v>22.5</v>
      </c>
      <c r="AK164" s="244">
        <v>0.75</v>
      </c>
      <c r="AL164" s="244">
        <v>12.4</v>
      </c>
      <c r="AM164" s="244">
        <v>1.36</v>
      </c>
      <c r="AN164" s="244">
        <v>1.86</v>
      </c>
      <c r="AO164" s="245">
        <v>3.34</v>
      </c>
      <c r="AP164" s="245">
        <v>1.33</v>
      </c>
      <c r="AQ164" s="244">
        <v>4280</v>
      </c>
      <c r="AR164" s="244">
        <v>380</v>
      </c>
      <c r="AS164" s="244">
        <v>9.36</v>
      </c>
      <c r="AT164" s="244">
        <v>435</v>
      </c>
      <c r="AU164" s="244">
        <v>70</v>
      </c>
      <c r="AV164" s="244">
        <v>2.99</v>
      </c>
      <c r="AW164" s="244">
        <v>23.6</v>
      </c>
      <c r="AX164" s="244">
        <v>48500</v>
      </c>
      <c r="AY164" s="246" t="s">
        <v>766</v>
      </c>
    </row>
    <row r="165" spans="1:51" ht="12.75">
      <c r="A165" s="166"/>
      <c r="B165" s="167"/>
      <c r="C165" s="167"/>
      <c r="D165" s="167"/>
      <c r="E165" s="167"/>
      <c r="F165" s="167"/>
      <c r="G165" s="167"/>
      <c r="H165" s="167"/>
      <c r="I165" s="167"/>
      <c r="J165" s="168"/>
      <c r="AH165" s="243" t="s">
        <v>464</v>
      </c>
      <c r="AI165" s="244">
        <v>43.2</v>
      </c>
      <c r="AJ165" s="244">
        <v>22.1</v>
      </c>
      <c r="AK165" s="244">
        <v>0.72</v>
      </c>
      <c r="AL165" s="244">
        <v>12.5</v>
      </c>
      <c r="AM165" s="244">
        <v>1.15</v>
      </c>
      <c r="AN165" s="244">
        <v>1.65</v>
      </c>
      <c r="AO165" s="245">
        <v>3.34</v>
      </c>
      <c r="AP165" s="245">
        <v>1.53</v>
      </c>
      <c r="AQ165" s="244">
        <v>3630</v>
      </c>
      <c r="AR165" s="244">
        <v>329</v>
      </c>
      <c r="AS165" s="244">
        <v>9.17</v>
      </c>
      <c r="AT165" s="244">
        <v>376</v>
      </c>
      <c r="AU165" s="244">
        <v>60.1</v>
      </c>
      <c r="AV165" s="244">
        <v>2.95</v>
      </c>
      <c r="AW165" s="244">
        <v>15.4</v>
      </c>
      <c r="AX165" s="244">
        <v>41100</v>
      </c>
      <c r="AY165" s="246" t="s">
        <v>767</v>
      </c>
    </row>
    <row r="166" spans="34:51" ht="12.75">
      <c r="AH166" s="243" t="s">
        <v>465</v>
      </c>
      <c r="AI166" s="244">
        <v>38.8</v>
      </c>
      <c r="AJ166" s="244">
        <v>21.8</v>
      </c>
      <c r="AK166" s="244">
        <v>0.65</v>
      </c>
      <c r="AL166" s="244">
        <v>12.4</v>
      </c>
      <c r="AM166" s="244">
        <v>1.03</v>
      </c>
      <c r="AN166" s="244">
        <v>1.54</v>
      </c>
      <c r="AO166" s="245">
        <v>3.31</v>
      </c>
      <c r="AP166" s="245">
        <v>1.7</v>
      </c>
      <c r="AQ166" s="244">
        <v>3220</v>
      </c>
      <c r="AR166" s="244">
        <v>295</v>
      </c>
      <c r="AS166" s="244">
        <v>9.12</v>
      </c>
      <c r="AT166" s="244">
        <v>333</v>
      </c>
      <c r="AU166" s="244">
        <v>53.5</v>
      </c>
      <c r="AV166" s="244">
        <v>2.93</v>
      </c>
      <c r="AW166" s="244">
        <v>11.3</v>
      </c>
      <c r="AX166" s="244">
        <v>36000</v>
      </c>
      <c r="AY166" s="246" t="s">
        <v>718</v>
      </c>
    </row>
    <row r="167" spans="34:51" ht="12.75">
      <c r="AH167" s="243" t="s">
        <v>466</v>
      </c>
      <c r="AI167" s="244">
        <v>35.9</v>
      </c>
      <c r="AJ167" s="244">
        <v>21.7</v>
      </c>
      <c r="AK167" s="244">
        <v>0.6</v>
      </c>
      <c r="AL167" s="244">
        <v>12.4</v>
      </c>
      <c r="AM167" s="244">
        <v>0.96</v>
      </c>
      <c r="AN167" s="244">
        <v>1.46</v>
      </c>
      <c r="AO167" s="245">
        <v>3.3</v>
      </c>
      <c r="AP167" s="245">
        <v>1.82</v>
      </c>
      <c r="AQ167" s="244">
        <v>2960</v>
      </c>
      <c r="AR167" s="244">
        <v>273</v>
      </c>
      <c r="AS167" s="244">
        <v>9.09</v>
      </c>
      <c r="AT167" s="244">
        <v>305</v>
      </c>
      <c r="AU167" s="244">
        <v>49.2</v>
      </c>
      <c r="AV167" s="244">
        <v>2.92</v>
      </c>
      <c r="AW167" s="244">
        <v>8.98</v>
      </c>
      <c r="AX167" s="244">
        <v>32700</v>
      </c>
      <c r="AY167" s="246" t="s">
        <v>768</v>
      </c>
    </row>
    <row r="168" spans="34:51" ht="12.75">
      <c r="AH168" s="243" t="s">
        <v>467</v>
      </c>
      <c r="AI168" s="244">
        <v>32.7</v>
      </c>
      <c r="AJ168" s="244">
        <v>21.5</v>
      </c>
      <c r="AK168" s="244">
        <v>0.55</v>
      </c>
      <c r="AL168" s="244">
        <v>12.3</v>
      </c>
      <c r="AM168" s="244">
        <v>0.875</v>
      </c>
      <c r="AN168" s="244">
        <v>1.38</v>
      </c>
      <c r="AO168" s="245">
        <v>3.28</v>
      </c>
      <c r="AP168" s="245">
        <v>1.99</v>
      </c>
      <c r="AQ168" s="244">
        <v>2670</v>
      </c>
      <c r="AR168" s="244">
        <v>249</v>
      </c>
      <c r="AS168" s="244">
        <v>9.05</v>
      </c>
      <c r="AT168" s="244">
        <v>274</v>
      </c>
      <c r="AU168" s="244">
        <v>44.5</v>
      </c>
      <c r="AV168" s="244">
        <v>2.9</v>
      </c>
      <c r="AW168" s="244">
        <v>6.83</v>
      </c>
      <c r="AX168" s="244">
        <v>29200</v>
      </c>
      <c r="AY168" s="246" t="s">
        <v>769</v>
      </c>
    </row>
    <row r="169" spans="34:51" ht="12.75">
      <c r="AH169" s="243" t="s">
        <v>468</v>
      </c>
      <c r="AI169" s="244">
        <v>29.8</v>
      </c>
      <c r="AJ169" s="244">
        <v>21.4</v>
      </c>
      <c r="AK169" s="244">
        <v>0.5</v>
      </c>
      <c r="AL169" s="244">
        <v>12.3</v>
      </c>
      <c r="AM169" s="244">
        <v>0.8</v>
      </c>
      <c r="AN169" s="244">
        <v>1.3</v>
      </c>
      <c r="AO169" s="245">
        <v>3.27</v>
      </c>
      <c r="AP169" s="245">
        <v>2.17</v>
      </c>
      <c r="AQ169" s="244">
        <v>2420</v>
      </c>
      <c r="AR169" s="244">
        <v>227</v>
      </c>
      <c r="AS169" s="244">
        <v>9.02</v>
      </c>
      <c r="AT169" s="244">
        <v>248</v>
      </c>
      <c r="AU169" s="244">
        <v>40.3</v>
      </c>
      <c r="AV169" s="244">
        <v>2.89</v>
      </c>
      <c r="AW169" s="244">
        <v>5.21</v>
      </c>
      <c r="AX169" s="244">
        <v>26200</v>
      </c>
      <c r="AY169" s="246" t="s">
        <v>770</v>
      </c>
    </row>
    <row r="170" spans="34:51" ht="12.75">
      <c r="AH170" s="243" t="s">
        <v>469</v>
      </c>
      <c r="AI170" s="244">
        <v>27.3</v>
      </c>
      <c r="AJ170" s="244">
        <v>21.6</v>
      </c>
      <c r="AK170" s="244">
        <v>0.58</v>
      </c>
      <c r="AL170" s="244">
        <v>8.42</v>
      </c>
      <c r="AM170" s="244">
        <v>0.93</v>
      </c>
      <c r="AN170" s="244">
        <v>1.43</v>
      </c>
      <c r="AO170" s="245">
        <v>2.17</v>
      </c>
      <c r="AP170" s="245">
        <v>2.76</v>
      </c>
      <c r="AQ170" s="244">
        <v>2070</v>
      </c>
      <c r="AR170" s="244">
        <v>192</v>
      </c>
      <c r="AS170" s="244">
        <v>8.7</v>
      </c>
      <c r="AT170" s="244">
        <v>92.9</v>
      </c>
      <c r="AU170" s="244">
        <v>22.1</v>
      </c>
      <c r="AV170" s="244">
        <v>1.84</v>
      </c>
      <c r="AW170" s="244">
        <v>6.03</v>
      </c>
      <c r="AX170" s="244">
        <v>9940</v>
      </c>
      <c r="AY170" s="246" t="s">
        <v>771</v>
      </c>
    </row>
    <row r="171" spans="34:51" ht="12.75">
      <c r="AH171" s="243" t="s">
        <v>470</v>
      </c>
      <c r="AI171" s="244">
        <v>24.3</v>
      </c>
      <c r="AJ171" s="244">
        <v>21.4</v>
      </c>
      <c r="AK171" s="244">
        <v>0.515</v>
      </c>
      <c r="AL171" s="244">
        <v>8.36</v>
      </c>
      <c r="AM171" s="244">
        <v>0.835</v>
      </c>
      <c r="AN171" s="244">
        <v>1.34</v>
      </c>
      <c r="AO171" s="245">
        <v>2.15</v>
      </c>
      <c r="AP171" s="245">
        <v>3.07</v>
      </c>
      <c r="AQ171" s="244">
        <v>1830</v>
      </c>
      <c r="AR171" s="244">
        <v>171</v>
      </c>
      <c r="AS171" s="244">
        <v>8.67</v>
      </c>
      <c r="AT171" s="244">
        <v>81.4</v>
      </c>
      <c r="AU171" s="244">
        <v>19.5</v>
      </c>
      <c r="AV171" s="244">
        <v>1.83</v>
      </c>
      <c r="AW171" s="244">
        <v>4.34</v>
      </c>
      <c r="AX171" s="244">
        <v>8630</v>
      </c>
      <c r="AY171" s="246" t="s">
        <v>772</v>
      </c>
    </row>
    <row r="172" spans="34:51" ht="12.75">
      <c r="AH172" s="243" t="s">
        <v>471</v>
      </c>
      <c r="AI172" s="244">
        <v>21.5</v>
      </c>
      <c r="AJ172" s="244">
        <v>21.2</v>
      </c>
      <c r="AK172" s="244">
        <v>0.455</v>
      </c>
      <c r="AL172" s="244">
        <v>8.3</v>
      </c>
      <c r="AM172" s="244">
        <v>0.74</v>
      </c>
      <c r="AN172" s="244">
        <v>1.24</v>
      </c>
      <c r="AO172" s="245">
        <v>2.13</v>
      </c>
      <c r="AP172" s="245">
        <v>3.46</v>
      </c>
      <c r="AQ172" s="244">
        <v>1600</v>
      </c>
      <c r="AR172" s="244">
        <v>151</v>
      </c>
      <c r="AS172" s="244">
        <v>8.64</v>
      </c>
      <c r="AT172" s="244">
        <v>70.6</v>
      </c>
      <c r="AU172" s="244">
        <v>17</v>
      </c>
      <c r="AV172" s="244">
        <v>1.81</v>
      </c>
      <c r="AW172" s="244">
        <v>3.02</v>
      </c>
      <c r="AX172" s="244">
        <v>7420</v>
      </c>
      <c r="AY172" s="246" t="s">
        <v>773</v>
      </c>
    </row>
    <row r="173" spans="34:51" ht="12.75">
      <c r="AH173" s="243" t="s">
        <v>472</v>
      </c>
      <c r="AI173" s="244">
        <v>20</v>
      </c>
      <c r="AJ173" s="244">
        <v>21.1</v>
      </c>
      <c r="AK173" s="244">
        <v>0.43</v>
      </c>
      <c r="AL173" s="244">
        <v>8.27</v>
      </c>
      <c r="AM173" s="244">
        <v>0.685</v>
      </c>
      <c r="AN173" s="244">
        <v>1.19</v>
      </c>
      <c r="AO173" s="245">
        <v>2.12</v>
      </c>
      <c r="AP173" s="245">
        <v>3.73</v>
      </c>
      <c r="AQ173" s="244">
        <v>1480</v>
      </c>
      <c r="AR173" s="244">
        <v>140</v>
      </c>
      <c r="AS173" s="244">
        <v>8.6</v>
      </c>
      <c r="AT173" s="244">
        <v>64.7</v>
      </c>
      <c r="AU173" s="244">
        <v>15.7</v>
      </c>
      <c r="AV173" s="244">
        <v>1.8</v>
      </c>
      <c r="AW173" s="244">
        <v>2.45</v>
      </c>
      <c r="AX173" s="244">
        <v>6760</v>
      </c>
      <c r="AY173" s="246" t="s">
        <v>758</v>
      </c>
    </row>
    <row r="174" spans="34:51" ht="12.75">
      <c r="AH174" s="243" t="s">
        <v>473</v>
      </c>
      <c r="AI174" s="244">
        <v>18.3</v>
      </c>
      <c r="AJ174" s="244">
        <v>21</v>
      </c>
      <c r="AK174" s="244">
        <v>0.4</v>
      </c>
      <c r="AL174" s="244">
        <v>8.24</v>
      </c>
      <c r="AM174" s="244">
        <v>0.615</v>
      </c>
      <c r="AN174" s="244">
        <v>1.12</v>
      </c>
      <c r="AO174" s="245">
        <v>2.1</v>
      </c>
      <c r="AP174" s="245">
        <v>4.14</v>
      </c>
      <c r="AQ174" s="244">
        <v>1330</v>
      </c>
      <c r="AR174" s="244">
        <v>127</v>
      </c>
      <c r="AS174" s="244">
        <v>8.54</v>
      </c>
      <c r="AT174" s="244">
        <v>57.5</v>
      </c>
      <c r="AU174" s="244">
        <v>14</v>
      </c>
      <c r="AV174" s="244">
        <v>1.77</v>
      </c>
      <c r="AW174" s="244">
        <v>1.83</v>
      </c>
      <c r="AX174" s="244">
        <v>5970</v>
      </c>
      <c r="AY174" s="246" t="s">
        <v>759</v>
      </c>
    </row>
    <row r="175" spans="34:51" ht="12.75">
      <c r="AH175" s="243" t="s">
        <v>474</v>
      </c>
      <c r="AI175" s="244">
        <v>16.7</v>
      </c>
      <c r="AJ175" s="244">
        <v>21.1</v>
      </c>
      <c r="AK175" s="244">
        <v>0.405</v>
      </c>
      <c r="AL175" s="244">
        <v>6.56</v>
      </c>
      <c r="AM175" s="244">
        <v>0.65</v>
      </c>
      <c r="AN175" s="244">
        <v>1.15</v>
      </c>
      <c r="AO175" s="245">
        <v>1.64</v>
      </c>
      <c r="AP175" s="245">
        <v>4.94</v>
      </c>
      <c r="AQ175" s="244">
        <v>1170</v>
      </c>
      <c r="AR175" s="244">
        <v>111</v>
      </c>
      <c r="AS175" s="244">
        <v>8.36</v>
      </c>
      <c r="AT175" s="244">
        <v>30.6</v>
      </c>
      <c r="AU175" s="244">
        <v>9.35</v>
      </c>
      <c r="AV175" s="244">
        <v>1.35</v>
      </c>
      <c r="AW175" s="244">
        <v>1.77</v>
      </c>
      <c r="AX175" s="244">
        <v>3190</v>
      </c>
      <c r="AY175" s="246" t="s">
        <v>774</v>
      </c>
    </row>
    <row r="176" spans="34:51" ht="12.75">
      <c r="AH176" s="243" t="s">
        <v>475</v>
      </c>
      <c r="AI176" s="244">
        <v>16.2</v>
      </c>
      <c r="AJ176" s="244">
        <v>20.8</v>
      </c>
      <c r="AK176" s="244">
        <v>0.375</v>
      </c>
      <c r="AL176" s="244">
        <v>8.22</v>
      </c>
      <c r="AM176" s="244">
        <v>0.522</v>
      </c>
      <c r="AN176" s="244">
        <v>1.02</v>
      </c>
      <c r="AO176" s="244">
        <v>2.09</v>
      </c>
      <c r="AP176" s="244">
        <v>4.85</v>
      </c>
      <c r="AQ176" s="244">
        <v>1140</v>
      </c>
      <c r="AR176" s="244">
        <v>110</v>
      </c>
      <c r="AS176" s="244">
        <v>8.4</v>
      </c>
      <c r="AT176" s="244">
        <v>48.4</v>
      </c>
      <c r="AU176" s="244">
        <v>11.8</v>
      </c>
      <c r="AV176" s="244">
        <v>1.73</v>
      </c>
      <c r="AW176" s="244">
        <v>1.24</v>
      </c>
      <c r="AX176" s="244">
        <v>4980</v>
      </c>
      <c r="AY176" s="246" t="s">
        <v>760</v>
      </c>
    </row>
    <row r="177" spans="34:51" ht="12.75">
      <c r="AH177" s="243" t="s">
        <v>476</v>
      </c>
      <c r="AI177" s="244">
        <v>14.7</v>
      </c>
      <c r="AJ177" s="244">
        <v>20.8</v>
      </c>
      <c r="AK177" s="244">
        <v>0.38</v>
      </c>
      <c r="AL177" s="244">
        <v>6.53</v>
      </c>
      <c r="AM177" s="244">
        <v>0.535</v>
      </c>
      <c r="AN177" s="244">
        <v>1.04</v>
      </c>
      <c r="AO177" s="245">
        <v>1.6</v>
      </c>
      <c r="AP177" s="245">
        <v>5.96</v>
      </c>
      <c r="AQ177" s="244">
        <v>984</v>
      </c>
      <c r="AR177" s="244">
        <v>94.5</v>
      </c>
      <c r="AS177" s="244">
        <v>8.18</v>
      </c>
      <c r="AT177" s="244">
        <v>24.9</v>
      </c>
      <c r="AU177" s="244">
        <v>7.64</v>
      </c>
      <c r="AV177" s="244">
        <v>1.3</v>
      </c>
      <c r="AW177" s="244">
        <v>1.14</v>
      </c>
      <c r="AX177" s="244">
        <v>2560</v>
      </c>
      <c r="AY177" s="246" t="s">
        <v>775</v>
      </c>
    </row>
    <row r="178" spans="34:51" ht="12.75">
      <c r="AH178" s="243" t="s">
        <v>477</v>
      </c>
      <c r="AI178" s="244">
        <v>14.1</v>
      </c>
      <c r="AJ178" s="244">
        <v>20.6</v>
      </c>
      <c r="AK178" s="244">
        <v>0.35</v>
      </c>
      <c r="AL178" s="244">
        <v>8.14</v>
      </c>
      <c r="AM178" s="244">
        <v>0.43</v>
      </c>
      <c r="AN178" s="244">
        <v>0.93</v>
      </c>
      <c r="AO178" s="244">
        <v>2.04</v>
      </c>
      <c r="AP178" s="244">
        <v>5.89</v>
      </c>
      <c r="AQ178" s="244">
        <v>959</v>
      </c>
      <c r="AR178" s="244">
        <v>93</v>
      </c>
      <c r="AS178" s="244">
        <v>8.24</v>
      </c>
      <c r="AT178" s="244">
        <v>38.7</v>
      </c>
      <c r="AU178" s="244">
        <v>9.52</v>
      </c>
      <c r="AV178" s="244">
        <v>1.66</v>
      </c>
      <c r="AW178" s="244">
        <v>0.803</v>
      </c>
      <c r="AX178" s="244">
        <v>3940</v>
      </c>
      <c r="AY178" s="246" t="s">
        <v>776</v>
      </c>
    </row>
    <row r="179" spans="34:51" ht="12.75">
      <c r="AH179" s="243" t="s">
        <v>478</v>
      </c>
      <c r="AI179" s="244">
        <v>13</v>
      </c>
      <c r="AJ179" s="244">
        <v>20.7</v>
      </c>
      <c r="AK179" s="244">
        <v>0.35</v>
      </c>
      <c r="AL179" s="244">
        <v>6.5</v>
      </c>
      <c r="AM179" s="244">
        <v>0.45</v>
      </c>
      <c r="AN179" s="244">
        <v>0.95</v>
      </c>
      <c r="AO179" s="245">
        <v>1.57</v>
      </c>
      <c r="AP179" s="245">
        <v>7.06</v>
      </c>
      <c r="AQ179" s="244">
        <v>843</v>
      </c>
      <c r="AR179" s="244">
        <v>81.6</v>
      </c>
      <c r="AS179" s="244">
        <v>8.06</v>
      </c>
      <c r="AT179" s="244">
        <v>20.7</v>
      </c>
      <c r="AU179" s="244">
        <v>6.37</v>
      </c>
      <c r="AV179" s="244">
        <v>1.26</v>
      </c>
      <c r="AW179" s="244">
        <v>0.77</v>
      </c>
      <c r="AX179" s="244">
        <v>2110</v>
      </c>
      <c r="AY179" s="246" t="s">
        <v>777</v>
      </c>
    </row>
    <row r="180" spans="34:51" ht="12.75">
      <c r="AH180" s="243" t="s">
        <v>479</v>
      </c>
      <c r="AI180" s="245">
        <v>91.5</v>
      </c>
      <c r="AJ180" s="245">
        <v>22.32</v>
      </c>
      <c r="AK180" s="245">
        <v>1.52</v>
      </c>
      <c r="AL180" s="245">
        <v>12.005</v>
      </c>
      <c r="AM180" s="245">
        <v>2.74</v>
      </c>
      <c r="AN180" s="245">
        <v>3.4375</v>
      </c>
      <c r="AO180" s="245">
        <v>3.26</v>
      </c>
      <c r="AP180" s="245">
        <v>0.68</v>
      </c>
      <c r="AQ180" s="245">
        <v>6960</v>
      </c>
      <c r="AR180" s="245">
        <v>624</v>
      </c>
      <c r="AS180" s="245">
        <v>8.72</v>
      </c>
      <c r="AT180" s="245">
        <v>795</v>
      </c>
      <c r="AU180" s="245">
        <v>132</v>
      </c>
      <c r="AV180" s="245">
        <v>2.95</v>
      </c>
      <c r="AW180" s="245">
        <v>177</v>
      </c>
      <c r="AX180" s="245">
        <v>75700</v>
      </c>
      <c r="AY180" s="246" t="s">
        <v>778</v>
      </c>
    </row>
    <row r="181" spans="34:51" ht="12.75">
      <c r="AH181" s="243" t="s">
        <v>480</v>
      </c>
      <c r="AI181" s="245">
        <v>83.2</v>
      </c>
      <c r="AJ181" s="245">
        <v>21.85</v>
      </c>
      <c r="AK181" s="245">
        <v>1.4</v>
      </c>
      <c r="AL181" s="245">
        <v>11.89</v>
      </c>
      <c r="AM181" s="245">
        <v>2.5</v>
      </c>
      <c r="AN181" s="245">
        <v>3.1875</v>
      </c>
      <c r="AO181" s="245">
        <v>3.23</v>
      </c>
      <c r="AP181" s="245">
        <v>0.74</v>
      </c>
      <c r="AQ181" s="245">
        <v>6160</v>
      </c>
      <c r="AR181" s="245">
        <v>564</v>
      </c>
      <c r="AS181" s="245">
        <v>8.61</v>
      </c>
      <c r="AT181" s="245">
        <v>704</v>
      </c>
      <c r="AU181" s="245">
        <v>118</v>
      </c>
      <c r="AV181" s="245">
        <v>2.91</v>
      </c>
      <c r="AW181" s="245">
        <v>135</v>
      </c>
      <c r="AX181" s="245">
        <v>65600</v>
      </c>
      <c r="AY181" s="246" t="s">
        <v>779</v>
      </c>
    </row>
    <row r="182" spans="34:51" ht="12.75">
      <c r="AH182" s="243" t="s">
        <v>481</v>
      </c>
      <c r="AI182" s="245">
        <v>75.9</v>
      </c>
      <c r="AJ182" s="245">
        <v>21.46</v>
      </c>
      <c r="AK182" s="245">
        <v>1.28</v>
      </c>
      <c r="AL182" s="245">
        <v>11.77</v>
      </c>
      <c r="AM182" s="245">
        <v>2.3</v>
      </c>
      <c r="AN182" s="245">
        <v>3</v>
      </c>
      <c r="AO182" s="245">
        <v>3.19</v>
      </c>
      <c r="AP182" s="245">
        <v>0.79</v>
      </c>
      <c r="AQ182" s="245">
        <v>5510</v>
      </c>
      <c r="AR182" s="245">
        <v>514</v>
      </c>
      <c r="AS182" s="245">
        <v>8.53</v>
      </c>
      <c r="AT182" s="245">
        <v>628</v>
      </c>
      <c r="AU182" s="245">
        <v>107</v>
      </c>
      <c r="AV182" s="245">
        <v>2.88</v>
      </c>
      <c r="AW182" s="245">
        <v>104</v>
      </c>
      <c r="AX182" s="245">
        <v>57400</v>
      </c>
      <c r="AY182" s="246" t="s">
        <v>732</v>
      </c>
    </row>
    <row r="183" spans="34:51" ht="12.75">
      <c r="AH183" s="243" t="s">
        <v>482</v>
      </c>
      <c r="AI183" s="245">
        <v>68.8</v>
      </c>
      <c r="AJ183" s="245">
        <v>21.06</v>
      </c>
      <c r="AK183" s="245">
        <v>1.16</v>
      </c>
      <c r="AL183" s="245">
        <v>11.65</v>
      </c>
      <c r="AM183" s="245">
        <v>2.11</v>
      </c>
      <c r="AN183" s="245">
        <v>2.75</v>
      </c>
      <c r="AO183" s="245">
        <v>3.16</v>
      </c>
      <c r="AP183" s="245">
        <v>0.86</v>
      </c>
      <c r="AQ183" s="245">
        <v>4900</v>
      </c>
      <c r="AR183" s="245">
        <v>466</v>
      </c>
      <c r="AS183" s="245">
        <v>8.44</v>
      </c>
      <c r="AT183" s="245">
        <v>558</v>
      </c>
      <c r="AU183" s="245">
        <v>95.8</v>
      </c>
      <c r="AV183" s="245">
        <v>2.85</v>
      </c>
      <c r="AW183" s="245">
        <v>79.7</v>
      </c>
      <c r="AX183" s="245">
        <v>49900</v>
      </c>
      <c r="AY183" s="246" t="s">
        <v>780</v>
      </c>
    </row>
    <row r="184" spans="34:51" ht="12.75">
      <c r="AH184" s="243" t="s">
        <v>483</v>
      </c>
      <c r="AI184" s="245">
        <v>62.1</v>
      </c>
      <c r="AJ184" s="245">
        <v>20.67</v>
      </c>
      <c r="AK184" s="245">
        <v>1.06</v>
      </c>
      <c r="AL184" s="245">
        <v>11.555</v>
      </c>
      <c r="AM184" s="245">
        <v>1.91</v>
      </c>
      <c r="AN184" s="245">
        <v>2.5625</v>
      </c>
      <c r="AO184" s="245">
        <v>3.13</v>
      </c>
      <c r="AP184" s="245">
        <v>0.94</v>
      </c>
      <c r="AQ184" s="245">
        <v>4330</v>
      </c>
      <c r="AR184" s="245">
        <v>419</v>
      </c>
      <c r="AS184" s="245">
        <v>8.35</v>
      </c>
      <c r="AT184" s="245">
        <v>493</v>
      </c>
      <c r="AU184" s="245">
        <v>85.3</v>
      </c>
      <c r="AV184" s="245">
        <v>2.82</v>
      </c>
      <c r="AW184" s="245">
        <v>59.3</v>
      </c>
      <c r="AX184" s="245">
        <v>43200</v>
      </c>
      <c r="AY184" s="246" t="s">
        <v>659</v>
      </c>
    </row>
    <row r="185" spans="34:51" ht="12.75">
      <c r="AH185" s="243" t="s">
        <v>484</v>
      </c>
      <c r="AI185" s="245">
        <v>56.4</v>
      </c>
      <c r="AJ185" s="245">
        <v>20.35</v>
      </c>
      <c r="AK185" s="245">
        <v>0.96</v>
      </c>
      <c r="AL185" s="245">
        <v>11.455</v>
      </c>
      <c r="AM185" s="245">
        <v>1.75</v>
      </c>
      <c r="AN185" s="245">
        <v>2.4375</v>
      </c>
      <c r="AO185" s="245">
        <v>3.1</v>
      </c>
      <c r="AP185" s="245">
        <v>1.02</v>
      </c>
      <c r="AQ185" s="245">
        <v>3870</v>
      </c>
      <c r="AR185" s="245">
        <v>380</v>
      </c>
      <c r="AS185" s="245">
        <v>8.28</v>
      </c>
      <c r="AT185" s="245">
        <v>440</v>
      </c>
      <c r="AU185" s="245">
        <v>76.8</v>
      </c>
      <c r="AV185" s="245">
        <v>2.79</v>
      </c>
      <c r="AW185" s="245">
        <v>45.2</v>
      </c>
      <c r="AX185" s="245">
        <v>37900</v>
      </c>
      <c r="AY185" s="246" t="s">
        <v>661</v>
      </c>
    </row>
    <row r="186" spans="34:51" ht="12.75">
      <c r="AH186" s="243" t="s">
        <v>485</v>
      </c>
      <c r="AI186" s="244">
        <v>51.3</v>
      </c>
      <c r="AJ186" s="244">
        <v>20</v>
      </c>
      <c r="AK186" s="244">
        <v>0.89</v>
      </c>
      <c r="AL186" s="244">
        <v>11.4</v>
      </c>
      <c r="AM186" s="244">
        <v>1.59</v>
      </c>
      <c r="AN186" s="244">
        <v>1.99</v>
      </c>
      <c r="AO186" s="245">
        <v>3.07</v>
      </c>
      <c r="AP186" s="245">
        <v>1.11</v>
      </c>
      <c r="AQ186" s="244">
        <v>3450</v>
      </c>
      <c r="AR186" s="244">
        <v>344</v>
      </c>
      <c r="AS186" s="244">
        <v>8.2</v>
      </c>
      <c r="AT186" s="244">
        <v>391</v>
      </c>
      <c r="AU186" s="244">
        <v>68.8</v>
      </c>
      <c r="AV186" s="244">
        <v>2.76</v>
      </c>
      <c r="AW186" s="244">
        <v>33.8</v>
      </c>
      <c r="AX186" s="244">
        <v>33300</v>
      </c>
      <c r="AY186" s="246" t="s">
        <v>781</v>
      </c>
    </row>
    <row r="187" spans="34:51" ht="12.75">
      <c r="AH187" s="243" t="s">
        <v>486</v>
      </c>
      <c r="AI187" s="244">
        <v>46.3</v>
      </c>
      <c r="AJ187" s="244">
        <v>19.7</v>
      </c>
      <c r="AK187" s="244">
        <v>0.81</v>
      </c>
      <c r="AL187" s="244">
        <v>11.3</v>
      </c>
      <c r="AM187" s="244">
        <v>1.44</v>
      </c>
      <c r="AN187" s="244">
        <v>1.84</v>
      </c>
      <c r="AO187" s="245">
        <v>3.05</v>
      </c>
      <c r="AP187" s="245">
        <v>1.21</v>
      </c>
      <c r="AQ187" s="244">
        <v>3060</v>
      </c>
      <c r="AR187" s="244">
        <v>310</v>
      </c>
      <c r="AS187" s="244">
        <v>8.12</v>
      </c>
      <c r="AT187" s="244">
        <v>347</v>
      </c>
      <c r="AU187" s="244">
        <v>61.4</v>
      </c>
      <c r="AV187" s="244">
        <v>2.74</v>
      </c>
      <c r="AW187" s="244">
        <v>25.2</v>
      </c>
      <c r="AX187" s="244">
        <v>29000</v>
      </c>
      <c r="AY187" s="246" t="s">
        <v>782</v>
      </c>
    </row>
    <row r="188" spans="34:51" ht="12.75">
      <c r="AH188" s="243" t="s">
        <v>487</v>
      </c>
      <c r="AI188" s="244">
        <v>42.1</v>
      </c>
      <c r="AJ188" s="244">
        <v>19.5</v>
      </c>
      <c r="AK188" s="244">
        <v>0.73</v>
      </c>
      <c r="AL188" s="244">
        <v>11.2</v>
      </c>
      <c r="AM188" s="244">
        <v>1.32</v>
      </c>
      <c r="AN188" s="244">
        <v>1.72</v>
      </c>
      <c r="AO188" s="245">
        <v>3.03</v>
      </c>
      <c r="AP188" s="245">
        <v>1.32</v>
      </c>
      <c r="AQ188" s="244">
        <v>2750</v>
      </c>
      <c r="AR188" s="244">
        <v>282</v>
      </c>
      <c r="AS188" s="244">
        <v>8.09</v>
      </c>
      <c r="AT188" s="244">
        <v>311</v>
      </c>
      <c r="AU188" s="244">
        <v>55.5</v>
      </c>
      <c r="AV188" s="244">
        <v>2.72</v>
      </c>
      <c r="AW188" s="244">
        <v>19.2</v>
      </c>
      <c r="AX188" s="244">
        <v>25700</v>
      </c>
      <c r="AY188" s="246" t="s">
        <v>783</v>
      </c>
    </row>
    <row r="189" spans="34:51" ht="12.75">
      <c r="AH189" s="243" t="s">
        <v>488</v>
      </c>
      <c r="AI189" s="244">
        <v>38.2</v>
      </c>
      <c r="AJ189" s="244">
        <v>19.3</v>
      </c>
      <c r="AK189" s="244">
        <v>0.67</v>
      </c>
      <c r="AL189" s="244">
        <v>11.2</v>
      </c>
      <c r="AM189" s="244">
        <v>1.2</v>
      </c>
      <c r="AN189" s="244">
        <v>1.6</v>
      </c>
      <c r="AO189" s="245">
        <v>3.01</v>
      </c>
      <c r="AP189" s="245">
        <v>1.44</v>
      </c>
      <c r="AQ189" s="244">
        <v>2460</v>
      </c>
      <c r="AR189" s="244">
        <v>256</v>
      </c>
      <c r="AS189" s="244">
        <v>8.03</v>
      </c>
      <c r="AT189" s="244">
        <v>278</v>
      </c>
      <c r="AU189" s="244">
        <v>49.9</v>
      </c>
      <c r="AV189" s="244">
        <v>2.7</v>
      </c>
      <c r="AW189" s="244">
        <v>14.5</v>
      </c>
      <c r="AX189" s="244">
        <v>22600</v>
      </c>
      <c r="AY189" s="246" t="s">
        <v>704</v>
      </c>
    </row>
    <row r="190" spans="34:51" ht="12.75">
      <c r="AH190" s="243" t="s">
        <v>489</v>
      </c>
      <c r="AI190" s="244">
        <v>35.1</v>
      </c>
      <c r="AJ190" s="244">
        <v>19</v>
      </c>
      <c r="AK190" s="244">
        <v>0.655</v>
      </c>
      <c r="AL190" s="244">
        <v>11.3</v>
      </c>
      <c r="AM190" s="244">
        <v>1.06</v>
      </c>
      <c r="AN190" s="244">
        <v>1.46</v>
      </c>
      <c r="AO190" s="245">
        <v>3.02</v>
      </c>
      <c r="AP190" s="245">
        <v>1.59</v>
      </c>
      <c r="AQ190" s="244">
        <v>2190</v>
      </c>
      <c r="AR190" s="244">
        <v>231</v>
      </c>
      <c r="AS190" s="244">
        <v>7.9</v>
      </c>
      <c r="AT190" s="244">
        <v>253</v>
      </c>
      <c r="AU190" s="244">
        <v>44.9</v>
      </c>
      <c r="AV190" s="244">
        <v>2.69</v>
      </c>
      <c r="AW190" s="244">
        <v>10.6</v>
      </c>
      <c r="AX190" s="244">
        <v>20300</v>
      </c>
      <c r="AY190" s="246" t="s">
        <v>784</v>
      </c>
    </row>
    <row r="191" spans="34:51" ht="12.75">
      <c r="AH191" s="243" t="s">
        <v>490</v>
      </c>
      <c r="AI191" s="244">
        <v>31.1</v>
      </c>
      <c r="AJ191" s="244">
        <v>18.7</v>
      </c>
      <c r="AK191" s="244">
        <v>0.59</v>
      </c>
      <c r="AL191" s="244">
        <v>11.2</v>
      </c>
      <c r="AM191" s="244">
        <v>0.94</v>
      </c>
      <c r="AN191" s="244">
        <v>1.34</v>
      </c>
      <c r="AO191" s="245">
        <v>3</v>
      </c>
      <c r="AP191" s="245">
        <v>1.78</v>
      </c>
      <c r="AQ191" s="244">
        <v>1910</v>
      </c>
      <c r="AR191" s="244">
        <v>204</v>
      </c>
      <c r="AS191" s="244">
        <v>7.84</v>
      </c>
      <c r="AT191" s="244">
        <v>220</v>
      </c>
      <c r="AU191" s="244">
        <v>39.4</v>
      </c>
      <c r="AV191" s="244">
        <v>2.66</v>
      </c>
      <c r="AW191" s="244">
        <v>7.48</v>
      </c>
      <c r="AX191" s="244">
        <v>17400</v>
      </c>
      <c r="AY191" s="246" t="s">
        <v>785</v>
      </c>
    </row>
    <row r="192" spans="34:51" ht="12.75">
      <c r="AH192" s="243" t="s">
        <v>491</v>
      </c>
      <c r="AI192" s="244">
        <v>28.5</v>
      </c>
      <c r="AJ192" s="244">
        <v>18.6</v>
      </c>
      <c r="AK192" s="244">
        <v>0.535</v>
      </c>
      <c r="AL192" s="244">
        <v>11.1</v>
      </c>
      <c r="AM192" s="244">
        <v>0.87</v>
      </c>
      <c r="AN192" s="244">
        <v>1.27</v>
      </c>
      <c r="AO192" s="245">
        <v>2.99</v>
      </c>
      <c r="AP192" s="245">
        <v>1.92</v>
      </c>
      <c r="AQ192" s="244">
        <v>1750</v>
      </c>
      <c r="AR192" s="244">
        <v>188</v>
      </c>
      <c r="AS192" s="244">
        <v>7.82</v>
      </c>
      <c r="AT192" s="244">
        <v>201</v>
      </c>
      <c r="AU192" s="244">
        <v>36.1</v>
      </c>
      <c r="AV192" s="244">
        <v>2.65</v>
      </c>
      <c r="AW192" s="244">
        <v>5.86</v>
      </c>
      <c r="AX192" s="244">
        <v>15800</v>
      </c>
      <c r="AY192" s="246" t="s">
        <v>786</v>
      </c>
    </row>
    <row r="193" spans="34:51" ht="12.75">
      <c r="AH193" s="243" t="s">
        <v>492</v>
      </c>
      <c r="AI193" s="244">
        <v>25.3</v>
      </c>
      <c r="AJ193" s="244">
        <v>18.4</v>
      </c>
      <c r="AK193" s="244">
        <v>0.48</v>
      </c>
      <c r="AL193" s="244">
        <v>11.1</v>
      </c>
      <c r="AM193" s="244">
        <v>0.77</v>
      </c>
      <c r="AN193" s="244">
        <v>1.17</v>
      </c>
      <c r="AO193" s="245">
        <v>2.97</v>
      </c>
      <c r="AP193" s="245">
        <v>2.15</v>
      </c>
      <c r="AQ193" s="244">
        <v>1530</v>
      </c>
      <c r="AR193" s="244">
        <v>166</v>
      </c>
      <c r="AS193" s="244">
        <v>7.77</v>
      </c>
      <c r="AT193" s="244">
        <v>175</v>
      </c>
      <c r="AU193" s="244">
        <v>31.6</v>
      </c>
      <c r="AV193" s="244">
        <v>2.63</v>
      </c>
      <c r="AW193" s="244">
        <v>4.1</v>
      </c>
      <c r="AX193" s="244">
        <v>13600</v>
      </c>
      <c r="AY193" s="246" t="s">
        <v>787</v>
      </c>
    </row>
    <row r="194" spans="34:51" ht="12.75">
      <c r="AH194" s="243" t="s">
        <v>493</v>
      </c>
      <c r="AI194" s="244">
        <v>22.3</v>
      </c>
      <c r="AJ194" s="244">
        <v>18.2</v>
      </c>
      <c r="AK194" s="244">
        <v>0.425</v>
      </c>
      <c r="AL194" s="244">
        <v>11</v>
      </c>
      <c r="AM194" s="244">
        <v>0.68</v>
      </c>
      <c r="AN194" s="244">
        <v>1.08</v>
      </c>
      <c r="AO194" s="245">
        <v>2.95</v>
      </c>
      <c r="AP194" s="245">
        <v>2.43</v>
      </c>
      <c r="AQ194" s="244">
        <v>1330</v>
      </c>
      <c r="AR194" s="244">
        <v>146</v>
      </c>
      <c r="AS194" s="244">
        <v>7.73</v>
      </c>
      <c r="AT194" s="244">
        <v>152</v>
      </c>
      <c r="AU194" s="244">
        <v>27.6</v>
      </c>
      <c r="AV194" s="244">
        <v>2.61</v>
      </c>
      <c r="AW194" s="244">
        <v>2.83</v>
      </c>
      <c r="AX194" s="244">
        <v>11700</v>
      </c>
      <c r="AY194" s="246" t="s">
        <v>757</v>
      </c>
    </row>
    <row r="195" spans="34:51" ht="12.75">
      <c r="AH195" s="243" t="s">
        <v>494</v>
      </c>
      <c r="AI195" s="244">
        <v>20.8</v>
      </c>
      <c r="AJ195" s="244">
        <v>18.5</v>
      </c>
      <c r="AK195" s="244">
        <v>0.495</v>
      </c>
      <c r="AL195" s="244">
        <v>7.64</v>
      </c>
      <c r="AM195" s="244">
        <v>0.81</v>
      </c>
      <c r="AN195" s="244">
        <v>1.21</v>
      </c>
      <c r="AO195" s="245">
        <v>1.98</v>
      </c>
      <c r="AP195" s="245">
        <v>2.99</v>
      </c>
      <c r="AQ195" s="244">
        <v>1170</v>
      </c>
      <c r="AR195" s="244">
        <v>127</v>
      </c>
      <c r="AS195" s="244">
        <v>7.5</v>
      </c>
      <c r="AT195" s="244">
        <v>60.3</v>
      </c>
      <c r="AU195" s="244">
        <v>15.8</v>
      </c>
      <c r="AV195" s="244">
        <v>1.7</v>
      </c>
      <c r="AW195" s="244">
        <v>3.49</v>
      </c>
      <c r="AX195" s="244">
        <v>4700</v>
      </c>
      <c r="AY195" s="246" t="s">
        <v>788</v>
      </c>
    </row>
    <row r="196" spans="34:51" ht="12.75">
      <c r="AH196" s="243" t="s">
        <v>495</v>
      </c>
      <c r="AI196" s="244">
        <v>19.1</v>
      </c>
      <c r="AJ196" s="244">
        <v>18.4</v>
      </c>
      <c r="AK196" s="244">
        <v>0.45</v>
      </c>
      <c r="AL196" s="244">
        <v>7.59</v>
      </c>
      <c r="AM196" s="244">
        <v>0.75</v>
      </c>
      <c r="AN196" s="244">
        <v>1.15</v>
      </c>
      <c r="AO196" s="245">
        <v>1.97</v>
      </c>
      <c r="AP196" s="245">
        <v>3.22</v>
      </c>
      <c r="AQ196" s="244">
        <v>1070</v>
      </c>
      <c r="AR196" s="244">
        <v>117</v>
      </c>
      <c r="AS196" s="244">
        <v>7.49</v>
      </c>
      <c r="AT196" s="244">
        <v>54.8</v>
      </c>
      <c r="AU196" s="244">
        <v>14.4</v>
      </c>
      <c r="AV196" s="244">
        <v>1.69</v>
      </c>
      <c r="AW196" s="244">
        <v>2.73</v>
      </c>
      <c r="AX196" s="244">
        <v>4240</v>
      </c>
      <c r="AY196" s="246" t="s">
        <v>789</v>
      </c>
    </row>
    <row r="197" spans="34:51" ht="12.75">
      <c r="AH197" s="243" t="s">
        <v>496</v>
      </c>
      <c r="AI197" s="244">
        <v>17.6</v>
      </c>
      <c r="AJ197" s="244">
        <v>18.2</v>
      </c>
      <c r="AK197" s="244">
        <v>0.415</v>
      </c>
      <c r="AL197" s="244">
        <v>7.56</v>
      </c>
      <c r="AM197" s="244">
        <v>0.695</v>
      </c>
      <c r="AN197" s="244">
        <v>1.1</v>
      </c>
      <c r="AO197" s="245">
        <v>1.96</v>
      </c>
      <c r="AP197" s="245">
        <v>3.47</v>
      </c>
      <c r="AQ197" s="244">
        <v>984</v>
      </c>
      <c r="AR197" s="244">
        <v>108</v>
      </c>
      <c r="AS197" s="244">
        <v>7.47</v>
      </c>
      <c r="AT197" s="244">
        <v>50.1</v>
      </c>
      <c r="AU197" s="244">
        <v>13.3</v>
      </c>
      <c r="AV197" s="244">
        <v>1.68</v>
      </c>
      <c r="AW197" s="244">
        <v>2.17</v>
      </c>
      <c r="AX197" s="244">
        <v>3860</v>
      </c>
      <c r="AY197" s="246" t="s">
        <v>790</v>
      </c>
    </row>
    <row r="198" spans="34:51" ht="12.75">
      <c r="AH198" s="243" t="s">
        <v>497</v>
      </c>
      <c r="AI198" s="244">
        <v>16.2</v>
      </c>
      <c r="AJ198" s="244">
        <v>18.1</v>
      </c>
      <c r="AK198" s="244">
        <v>0.39</v>
      </c>
      <c r="AL198" s="244">
        <v>7.53</v>
      </c>
      <c r="AM198" s="244">
        <v>0.63</v>
      </c>
      <c r="AN198" s="244">
        <v>1.03</v>
      </c>
      <c r="AO198" s="245">
        <v>1.95</v>
      </c>
      <c r="AP198" s="245">
        <v>3.82</v>
      </c>
      <c r="AQ198" s="244">
        <v>890</v>
      </c>
      <c r="AR198" s="244">
        <v>98.3</v>
      </c>
      <c r="AS198" s="244">
        <v>7.41</v>
      </c>
      <c r="AT198" s="244">
        <v>44.9</v>
      </c>
      <c r="AU198" s="244">
        <v>11.9</v>
      </c>
      <c r="AV198" s="244">
        <v>1.67</v>
      </c>
      <c r="AW198" s="244">
        <v>1.66</v>
      </c>
      <c r="AX198" s="244">
        <v>3430</v>
      </c>
      <c r="AY198" s="246" t="s">
        <v>760</v>
      </c>
    </row>
    <row r="199" spans="34:51" ht="12.75">
      <c r="AH199" s="243" t="s">
        <v>498</v>
      </c>
      <c r="AI199" s="244">
        <v>14.7</v>
      </c>
      <c r="AJ199" s="244">
        <v>18</v>
      </c>
      <c r="AK199" s="244">
        <v>0.355</v>
      </c>
      <c r="AL199" s="244">
        <v>7.5</v>
      </c>
      <c r="AM199" s="244">
        <v>0.57</v>
      </c>
      <c r="AN199" s="244">
        <v>0.972</v>
      </c>
      <c r="AO199" s="245">
        <v>1.94</v>
      </c>
      <c r="AP199" s="245">
        <v>4.21</v>
      </c>
      <c r="AQ199" s="244">
        <v>800</v>
      </c>
      <c r="AR199" s="244">
        <v>88.9</v>
      </c>
      <c r="AS199" s="244">
        <v>7.38</v>
      </c>
      <c r="AT199" s="244">
        <v>40.1</v>
      </c>
      <c r="AU199" s="244">
        <v>10.7</v>
      </c>
      <c r="AV199" s="244">
        <v>1.65</v>
      </c>
      <c r="AW199" s="244">
        <v>1.24</v>
      </c>
      <c r="AX199" s="244">
        <v>3040</v>
      </c>
      <c r="AY199" s="246" t="s">
        <v>775</v>
      </c>
    </row>
    <row r="200" spans="34:51" ht="12.75">
      <c r="AH200" s="243" t="s">
        <v>499</v>
      </c>
      <c r="AI200" s="244">
        <v>13.5</v>
      </c>
      <c r="AJ200" s="244">
        <v>18.1</v>
      </c>
      <c r="AK200" s="244">
        <v>0.36</v>
      </c>
      <c r="AL200" s="244">
        <v>6.06</v>
      </c>
      <c r="AM200" s="244">
        <v>0.605</v>
      </c>
      <c r="AN200" s="244">
        <v>1.01</v>
      </c>
      <c r="AO200" s="245">
        <v>1.54</v>
      </c>
      <c r="AP200" s="245">
        <v>4.93</v>
      </c>
      <c r="AQ200" s="244">
        <v>712</v>
      </c>
      <c r="AR200" s="244">
        <v>78.8</v>
      </c>
      <c r="AS200" s="244">
        <v>7.25</v>
      </c>
      <c r="AT200" s="244">
        <v>22.5</v>
      </c>
      <c r="AU200" s="244">
        <v>7.43</v>
      </c>
      <c r="AV200" s="244">
        <v>1.29</v>
      </c>
      <c r="AW200" s="244">
        <v>1.22</v>
      </c>
      <c r="AX200" s="244">
        <v>1710</v>
      </c>
      <c r="AY200" s="246" t="s">
        <v>791</v>
      </c>
    </row>
    <row r="201" spans="34:51" ht="12.75">
      <c r="AH201" s="243" t="s">
        <v>500</v>
      </c>
      <c r="AI201" s="244">
        <v>11.8</v>
      </c>
      <c r="AJ201" s="244">
        <v>17.9</v>
      </c>
      <c r="AK201" s="244">
        <v>0.315</v>
      </c>
      <c r="AL201" s="244">
        <v>6.02</v>
      </c>
      <c r="AM201" s="244">
        <v>0.525</v>
      </c>
      <c r="AN201" s="244">
        <v>0.927</v>
      </c>
      <c r="AO201" s="245">
        <v>1.52</v>
      </c>
      <c r="AP201" s="245">
        <v>5.67</v>
      </c>
      <c r="AQ201" s="244">
        <v>612</v>
      </c>
      <c r="AR201" s="244">
        <v>68.4</v>
      </c>
      <c r="AS201" s="244">
        <v>7.21</v>
      </c>
      <c r="AT201" s="244">
        <v>19.1</v>
      </c>
      <c r="AU201" s="244">
        <v>6.35</v>
      </c>
      <c r="AV201" s="244">
        <v>1.27</v>
      </c>
      <c r="AW201" s="244">
        <v>0.81</v>
      </c>
      <c r="AX201" s="244">
        <v>1440</v>
      </c>
      <c r="AY201" s="246" t="s">
        <v>792</v>
      </c>
    </row>
    <row r="202" spans="34:51" ht="12.75">
      <c r="AH202" s="243" t="s">
        <v>501</v>
      </c>
      <c r="AI202" s="244">
        <v>10.3</v>
      </c>
      <c r="AJ202" s="244">
        <v>17.7</v>
      </c>
      <c r="AK202" s="244">
        <v>0.3</v>
      </c>
      <c r="AL202" s="244">
        <v>6</v>
      </c>
      <c r="AM202" s="244">
        <v>0.425</v>
      </c>
      <c r="AN202" s="244">
        <v>0.827</v>
      </c>
      <c r="AO202" s="245">
        <v>1.49</v>
      </c>
      <c r="AP202" s="245">
        <v>6.94</v>
      </c>
      <c r="AQ202" s="244">
        <v>510</v>
      </c>
      <c r="AR202" s="244">
        <v>57.6</v>
      </c>
      <c r="AS202" s="244">
        <v>7.04</v>
      </c>
      <c r="AT202" s="244">
        <v>15.3</v>
      </c>
      <c r="AU202" s="244">
        <v>5.12</v>
      </c>
      <c r="AV202" s="244">
        <v>1.22</v>
      </c>
      <c r="AW202" s="244">
        <v>0.506</v>
      </c>
      <c r="AX202" s="244">
        <v>1140</v>
      </c>
      <c r="AY202" s="246" t="s">
        <v>793</v>
      </c>
    </row>
    <row r="203" spans="34:51" ht="12.75">
      <c r="AH203" s="243" t="s">
        <v>502</v>
      </c>
      <c r="AI203" s="244">
        <v>29.7</v>
      </c>
      <c r="AJ203" s="244">
        <v>17</v>
      </c>
      <c r="AK203" s="244">
        <v>0.585</v>
      </c>
      <c r="AL203" s="244">
        <v>10.4</v>
      </c>
      <c r="AM203" s="244">
        <v>0.985</v>
      </c>
      <c r="AN203" s="244">
        <v>1.69</v>
      </c>
      <c r="AO203" s="245">
        <v>2.81</v>
      </c>
      <c r="AP203" s="245">
        <v>1.65</v>
      </c>
      <c r="AQ203" s="244">
        <v>1500</v>
      </c>
      <c r="AR203" s="244">
        <v>177</v>
      </c>
      <c r="AS203" s="244">
        <v>7.1</v>
      </c>
      <c r="AT203" s="244">
        <v>186</v>
      </c>
      <c r="AU203" s="244">
        <v>35.7</v>
      </c>
      <c r="AV203" s="244">
        <v>2.5</v>
      </c>
      <c r="AW203" s="244">
        <v>8.21</v>
      </c>
      <c r="AX203" s="244">
        <v>11900</v>
      </c>
      <c r="AY203" s="246" t="s">
        <v>794</v>
      </c>
    </row>
    <row r="204" spans="34:51" ht="12.75">
      <c r="AH204" s="243" t="s">
        <v>503</v>
      </c>
      <c r="AI204" s="244">
        <v>26.4</v>
      </c>
      <c r="AJ204" s="244">
        <v>16.8</v>
      </c>
      <c r="AK204" s="244">
        <v>0.525</v>
      </c>
      <c r="AL204" s="244">
        <v>10.4</v>
      </c>
      <c r="AM204" s="244">
        <v>0.875</v>
      </c>
      <c r="AN204" s="244">
        <v>1.58</v>
      </c>
      <c r="AO204" s="245">
        <v>2.79</v>
      </c>
      <c r="AP204" s="245">
        <v>1.85</v>
      </c>
      <c r="AQ204" s="244">
        <v>1310</v>
      </c>
      <c r="AR204" s="244">
        <v>157</v>
      </c>
      <c r="AS204" s="244">
        <v>7.05</v>
      </c>
      <c r="AT204" s="244">
        <v>163</v>
      </c>
      <c r="AU204" s="244">
        <v>31.4</v>
      </c>
      <c r="AV204" s="244">
        <v>2.48</v>
      </c>
      <c r="AW204" s="244">
        <v>5.83</v>
      </c>
      <c r="AX204" s="244">
        <v>10300</v>
      </c>
      <c r="AY204" s="246" t="s">
        <v>795</v>
      </c>
    </row>
    <row r="205" spans="34:51" ht="12.75">
      <c r="AH205" s="243" t="s">
        <v>504</v>
      </c>
      <c r="AI205" s="244">
        <v>22.9</v>
      </c>
      <c r="AJ205" s="244">
        <v>16.5</v>
      </c>
      <c r="AK205" s="244">
        <v>0.455</v>
      </c>
      <c r="AL205" s="244">
        <v>10.3</v>
      </c>
      <c r="AM205" s="244">
        <v>0.76</v>
      </c>
      <c r="AN205" s="244">
        <v>1.47</v>
      </c>
      <c r="AO205" s="245">
        <v>2.77</v>
      </c>
      <c r="AP205" s="245">
        <v>2.11</v>
      </c>
      <c r="AQ205" s="244">
        <v>1120</v>
      </c>
      <c r="AR205" s="244">
        <v>136</v>
      </c>
      <c r="AS205" s="244">
        <v>7</v>
      </c>
      <c r="AT205" s="244">
        <v>138</v>
      </c>
      <c r="AU205" s="244">
        <v>26.9</v>
      </c>
      <c r="AV205" s="244">
        <v>2.46</v>
      </c>
      <c r="AW205" s="244">
        <v>3.86</v>
      </c>
      <c r="AX205" s="244">
        <v>8570</v>
      </c>
      <c r="AY205" s="246" t="s">
        <v>796</v>
      </c>
    </row>
    <row r="206" spans="34:51" ht="12.75">
      <c r="AH206" s="243" t="s">
        <v>505</v>
      </c>
      <c r="AI206" s="244">
        <v>20</v>
      </c>
      <c r="AJ206" s="244">
        <v>16.3</v>
      </c>
      <c r="AK206" s="244">
        <v>0.395</v>
      </c>
      <c r="AL206" s="244">
        <v>10.2</v>
      </c>
      <c r="AM206" s="244">
        <v>0.665</v>
      </c>
      <c r="AN206" s="244">
        <v>1.37</v>
      </c>
      <c r="AO206" s="245">
        <v>2.75</v>
      </c>
      <c r="AP206" s="245">
        <v>2.4</v>
      </c>
      <c r="AQ206" s="244">
        <v>970</v>
      </c>
      <c r="AR206" s="244">
        <v>119</v>
      </c>
      <c r="AS206" s="244">
        <v>6.97</v>
      </c>
      <c r="AT206" s="244">
        <v>119</v>
      </c>
      <c r="AU206" s="244">
        <v>23.2</v>
      </c>
      <c r="AV206" s="244">
        <v>2.44</v>
      </c>
      <c r="AW206" s="244">
        <v>2.62</v>
      </c>
      <c r="AX206" s="244">
        <v>7300</v>
      </c>
      <c r="AY206" s="246" t="s">
        <v>797</v>
      </c>
    </row>
    <row r="207" spans="34:51" ht="12.75">
      <c r="AH207" s="243" t="s">
        <v>506</v>
      </c>
      <c r="AI207" s="244">
        <v>16.8</v>
      </c>
      <c r="AJ207" s="244">
        <v>16.4</v>
      </c>
      <c r="AK207" s="244">
        <v>0.43</v>
      </c>
      <c r="AL207" s="244">
        <v>7.12</v>
      </c>
      <c r="AM207" s="244">
        <v>0.715</v>
      </c>
      <c r="AN207" s="244">
        <v>1.12</v>
      </c>
      <c r="AO207" s="245">
        <v>1.86</v>
      </c>
      <c r="AP207" s="245">
        <v>3.23</v>
      </c>
      <c r="AQ207" s="244">
        <v>758</v>
      </c>
      <c r="AR207" s="244">
        <v>92.2</v>
      </c>
      <c r="AS207" s="244">
        <v>6.72</v>
      </c>
      <c r="AT207" s="244">
        <v>43.1</v>
      </c>
      <c r="AU207" s="244">
        <v>12.1</v>
      </c>
      <c r="AV207" s="244">
        <v>1.6</v>
      </c>
      <c r="AW207" s="244">
        <v>2.22</v>
      </c>
      <c r="AX207" s="244">
        <v>2660</v>
      </c>
      <c r="AY207" s="246" t="s">
        <v>774</v>
      </c>
    </row>
    <row r="208" spans="34:51" ht="12.75">
      <c r="AH208" s="243" t="s">
        <v>507</v>
      </c>
      <c r="AI208" s="244">
        <v>14.7</v>
      </c>
      <c r="AJ208" s="244">
        <v>16.3</v>
      </c>
      <c r="AK208" s="244">
        <v>0.38</v>
      </c>
      <c r="AL208" s="244">
        <v>7.07</v>
      </c>
      <c r="AM208" s="244">
        <v>0.63</v>
      </c>
      <c r="AN208" s="244">
        <v>1.03</v>
      </c>
      <c r="AO208" s="245">
        <v>1.84</v>
      </c>
      <c r="AP208" s="245">
        <v>3.65</v>
      </c>
      <c r="AQ208" s="244">
        <v>659</v>
      </c>
      <c r="AR208" s="244">
        <v>81</v>
      </c>
      <c r="AS208" s="244">
        <v>6.68</v>
      </c>
      <c r="AT208" s="244">
        <v>37.2</v>
      </c>
      <c r="AU208" s="244">
        <v>10.5</v>
      </c>
      <c r="AV208" s="244">
        <v>1.59</v>
      </c>
      <c r="AW208" s="244">
        <v>1.52</v>
      </c>
      <c r="AX208" s="244">
        <v>2270</v>
      </c>
      <c r="AY208" s="246" t="s">
        <v>775</v>
      </c>
    </row>
    <row r="209" spans="34:51" ht="12.75">
      <c r="AH209" s="243" t="s">
        <v>508</v>
      </c>
      <c r="AI209" s="244">
        <v>13.3</v>
      </c>
      <c r="AJ209" s="244">
        <v>16.1</v>
      </c>
      <c r="AK209" s="244">
        <v>0.345</v>
      </c>
      <c r="AL209" s="244">
        <v>7.04</v>
      </c>
      <c r="AM209" s="244">
        <v>0.565</v>
      </c>
      <c r="AN209" s="244">
        <v>0.967</v>
      </c>
      <c r="AO209" s="245">
        <v>1.83</v>
      </c>
      <c r="AP209" s="245">
        <v>4.06</v>
      </c>
      <c r="AQ209" s="244">
        <v>586</v>
      </c>
      <c r="AR209" s="244">
        <v>72.7</v>
      </c>
      <c r="AS209" s="244">
        <v>6.65</v>
      </c>
      <c r="AT209" s="244">
        <v>32.8</v>
      </c>
      <c r="AU209" s="244">
        <v>9.34</v>
      </c>
      <c r="AV209" s="244">
        <v>1.57</v>
      </c>
      <c r="AW209" s="244">
        <v>1.11</v>
      </c>
      <c r="AX209" s="244">
        <v>1990</v>
      </c>
      <c r="AY209" s="246" t="s">
        <v>798</v>
      </c>
    </row>
    <row r="210" spans="34:51" ht="12.75">
      <c r="AH210" s="243" t="s">
        <v>509</v>
      </c>
      <c r="AI210" s="244">
        <v>11.8</v>
      </c>
      <c r="AJ210" s="244">
        <v>16</v>
      </c>
      <c r="AK210" s="244">
        <v>0.305</v>
      </c>
      <c r="AL210" s="244">
        <v>7</v>
      </c>
      <c r="AM210" s="244">
        <v>0.505</v>
      </c>
      <c r="AN210" s="244">
        <v>0.907</v>
      </c>
      <c r="AO210" s="245">
        <v>1.82</v>
      </c>
      <c r="AP210" s="245">
        <v>4.53</v>
      </c>
      <c r="AQ210" s="244">
        <v>518</v>
      </c>
      <c r="AR210" s="244">
        <v>64.7</v>
      </c>
      <c r="AS210" s="244">
        <v>6.63</v>
      </c>
      <c r="AT210" s="244">
        <v>28.9</v>
      </c>
      <c r="AU210" s="244">
        <v>8.25</v>
      </c>
      <c r="AV210" s="244">
        <v>1.57</v>
      </c>
      <c r="AW210" s="244">
        <v>0.794</v>
      </c>
      <c r="AX210" s="244">
        <v>1740</v>
      </c>
      <c r="AY210" s="246" t="s">
        <v>792</v>
      </c>
    </row>
    <row r="211" spans="34:51" ht="12.75">
      <c r="AH211" s="243" t="s">
        <v>510</v>
      </c>
      <c r="AI211" s="244">
        <v>10.6</v>
      </c>
      <c r="AJ211" s="244">
        <v>15.9</v>
      </c>
      <c r="AK211" s="244">
        <v>0.295</v>
      </c>
      <c r="AL211" s="244">
        <v>6.99</v>
      </c>
      <c r="AM211" s="244">
        <v>0.43</v>
      </c>
      <c r="AN211" s="244">
        <v>0.832</v>
      </c>
      <c r="AO211" s="245">
        <v>1.79</v>
      </c>
      <c r="AP211" s="245">
        <v>5.28</v>
      </c>
      <c r="AQ211" s="244">
        <v>448</v>
      </c>
      <c r="AR211" s="244">
        <v>56.5</v>
      </c>
      <c r="AS211" s="244">
        <v>6.51</v>
      </c>
      <c r="AT211" s="244">
        <v>24.5</v>
      </c>
      <c r="AU211" s="244">
        <v>7</v>
      </c>
      <c r="AV211" s="244">
        <v>1.52</v>
      </c>
      <c r="AW211" s="244">
        <v>0.545</v>
      </c>
      <c r="AX211" s="244">
        <v>1460</v>
      </c>
      <c r="AY211" s="246" t="s">
        <v>799</v>
      </c>
    </row>
    <row r="212" spans="34:51" ht="12.75">
      <c r="AH212" s="243" t="s">
        <v>511</v>
      </c>
      <c r="AI212" s="244">
        <v>9.13</v>
      </c>
      <c r="AJ212" s="244">
        <v>15.9</v>
      </c>
      <c r="AK212" s="244">
        <v>0.275</v>
      </c>
      <c r="AL212" s="244">
        <v>5.53</v>
      </c>
      <c r="AM212" s="244">
        <v>0.44</v>
      </c>
      <c r="AN212" s="244">
        <v>0.842</v>
      </c>
      <c r="AO212" s="245">
        <v>1.39</v>
      </c>
      <c r="AP212" s="245">
        <v>6.53</v>
      </c>
      <c r="AQ212" s="244">
        <v>375</v>
      </c>
      <c r="AR212" s="244">
        <v>47.2</v>
      </c>
      <c r="AS212" s="244">
        <v>6.41</v>
      </c>
      <c r="AT212" s="244">
        <v>12.4</v>
      </c>
      <c r="AU212" s="244">
        <v>4.49</v>
      </c>
      <c r="AV212" s="244">
        <v>1.17</v>
      </c>
      <c r="AW212" s="244">
        <v>0.461</v>
      </c>
      <c r="AX212" s="244">
        <v>739</v>
      </c>
      <c r="AY212" s="250" t="s">
        <v>800</v>
      </c>
    </row>
    <row r="213" spans="34:51" ht="12.75">
      <c r="AH213" s="243" t="s">
        <v>512</v>
      </c>
      <c r="AI213" s="244">
        <v>7.68</v>
      </c>
      <c r="AJ213" s="244">
        <v>15.7</v>
      </c>
      <c r="AK213" s="244">
        <v>0.25</v>
      </c>
      <c r="AL213" s="244">
        <v>5.5</v>
      </c>
      <c r="AM213" s="244">
        <v>0.345</v>
      </c>
      <c r="AN213" s="244">
        <v>0.747</v>
      </c>
      <c r="AO213" s="245">
        <v>1.36</v>
      </c>
      <c r="AP213" s="245">
        <v>8.27</v>
      </c>
      <c r="AQ213" s="244">
        <v>301</v>
      </c>
      <c r="AR213" s="244">
        <v>38.4</v>
      </c>
      <c r="AS213" s="244">
        <v>6.26</v>
      </c>
      <c r="AT213" s="244">
        <v>9.59</v>
      </c>
      <c r="AU213" s="244">
        <v>3.49</v>
      </c>
      <c r="AV213" s="244">
        <v>1.12</v>
      </c>
      <c r="AW213" s="244">
        <v>0.262</v>
      </c>
      <c r="AX213" s="244">
        <v>565</v>
      </c>
      <c r="AY213" s="250" t="s">
        <v>801</v>
      </c>
    </row>
    <row r="214" spans="34:51" ht="12.75">
      <c r="AH214" s="243" t="s">
        <v>513</v>
      </c>
      <c r="AI214" s="244">
        <v>237</v>
      </c>
      <c r="AJ214" s="244">
        <v>22.8</v>
      </c>
      <c r="AK214" s="244">
        <v>3.74</v>
      </c>
      <c r="AL214" s="244">
        <v>18.6</v>
      </c>
      <c r="AM214" s="244">
        <v>5.12</v>
      </c>
      <c r="AN214" s="244">
        <v>5.72</v>
      </c>
      <c r="AO214" s="245">
        <v>5.15</v>
      </c>
      <c r="AP214" s="245">
        <v>0.24</v>
      </c>
      <c r="AQ214" s="244">
        <v>16000</v>
      </c>
      <c r="AR214" s="244">
        <v>1400</v>
      </c>
      <c r="AS214" s="244">
        <v>8.2</v>
      </c>
      <c r="AT214" s="244">
        <v>5510</v>
      </c>
      <c r="AU214" s="244">
        <v>594</v>
      </c>
      <c r="AV214" s="244">
        <v>4.82</v>
      </c>
      <c r="AW214" s="244">
        <v>1840</v>
      </c>
      <c r="AX214" s="244">
        <v>433000</v>
      </c>
      <c r="AY214" s="246" t="s">
        <v>802</v>
      </c>
    </row>
    <row r="215" spans="34:51" ht="12.75">
      <c r="AH215" s="243" t="s">
        <v>515</v>
      </c>
      <c r="AI215" s="244">
        <v>215</v>
      </c>
      <c r="AJ215" s="244">
        <v>22.4</v>
      </c>
      <c r="AK215" s="244">
        <v>3.07</v>
      </c>
      <c r="AL215" s="244">
        <v>17.9</v>
      </c>
      <c r="AM215" s="244">
        <v>4.91</v>
      </c>
      <c r="AN215" s="244">
        <v>5.51</v>
      </c>
      <c r="AO215" s="245">
        <v>4.99</v>
      </c>
      <c r="AP215" s="245">
        <v>0.26</v>
      </c>
      <c r="AQ215" s="244">
        <v>14300</v>
      </c>
      <c r="AR215" s="244">
        <v>1280</v>
      </c>
      <c r="AS215" s="244">
        <v>8.17</v>
      </c>
      <c r="AT215" s="244">
        <v>4720</v>
      </c>
      <c r="AU215" s="244">
        <v>527</v>
      </c>
      <c r="AV215" s="244">
        <v>4.69</v>
      </c>
      <c r="AW215" s="244">
        <v>1450</v>
      </c>
      <c r="AX215" s="244">
        <v>362000</v>
      </c>
      <c r="AY215" s="246" t="s">
        <v>803</v>
      </c>
    </row>
    <row r="216" spans="34:51" ht="12.75">
      <c r="AH216" s="243" t="s">
        <v>516</v>
      </c>
      <c r="AI216" s="244">
        <v>196</v>
      </c>
      <c r="AJ216" s="244">
        <v>21.6</v>
      </c>
      <c r="AK216" s="244">
        <v>2.83</v>
      </c>
      <c r="AL216" s="244">
        <v>17.7</v>
      </c>
      <c r="AM216" s="244">
        <v>4.52</v>
      </c>
      <c r="AN216" s="244">
        <v>5.12</v>
      </c>
      <c r="AO216" s="245">
        <v>4.92</v>
      </c>
      <c r="AP216" s="245">
        <v>0.27</v>
      </c>
      <c r="AQ216" s="244">
        <v>12400</v>
      </c>
      <c r="AR216" s="244">
        <v>1150</v>
      </c>
      <c r="AS216" s="244">
        <v>7.98</v>
      </c>
      <c r="AT216" s="244">
        <v>4170</v>
      </c>
      <c r="AU216" s="244">
        <v>472</v>
      </c>
      <c r="AV216" s="244">
        <v>4.62</v>
      </c>
      <c r="AW216" s="244">
        <v>1120</v>
      </c>
      <c r="AX216" s="244">
        <v>306000</v>
      </c>
      <c r="AY216" s="246" t="s">
        <v>804</v>
      </c>
    </row>
    <row r="217" spans="34:51" ht="12.75">
      <c r="AH217" s="243" t="s">
        <v>517</v>
      </c>
      <c r="AI217" s="244">
        <v>178</v>
      </c>
      <c r="AJ217" s="244">
        <v>20.9</v>
      </c>
      <c r="AK217" s="244">
        <v>2.6</v>
      </c>
      <c r="AL217" s="244">
        <v>17.4</v>
      </c>
      <c r="AM217" s="244">
        <v>4.16</v>
      </c>
      <c r="AN217" s="244">
        <v>4.76</v>
      </c>
      <c r="AO217" s="245">
        <v>4.85</v>
      </c>
      <c r="AP217" s="245">
        <v>0.29</v>
      </c>
      <c r="AQ217" s="244">
        <v>10800</v>
      </c>
      <c r="AR217" s="244">
        <v>1040</v>
      </c>
      <c r="AS217" s="244">
        <v>7.8</v>
      </c>
      <c r="AT217" s="244">
        <v>3680</v>
      </c>
      <c r="AU217" s="244">
        <v>423</v>
      </c>
      <c r="AV217" s="244">
        <v>4.55</v>
      </c>
      <c r="AW217" s="244">
        <v>869</v>
      </c>
      <c r="AX217" s="244">
        <v>258000</v>
      </c>
      <c r="AY217" s="246" t="s">
        <v>805</v>
      </c>
    </row>
    <row r="218" spans="34:51" ht="12.75">
      <c r="AH218" s="243" t="s">
        <v>518</v>
      </c>
      <c r="AI218" s="244">
        <v>162</v>
      </c>
      <c r="AJ218" s="244">
        <v>20.2</v>
      </c>
      <c r="AK218" s="244">
        <v>2.38</v>
      </c>
      <c r="AL218" s="244">
        <v>17.2</v>
      </c>
      <c r="AM218" s="244">
        <v>3.82</v>
      </c>
      <c r="AN218" s="244">
        <v>4.42</v>
      </c>
      <c r="AO218" s="245">
        <v>4.79</v>
      </c>
      <c r="AP218" s="245">
        <v>0.31</v>
      </c>
      <c r="AQ218" s="244">
        <v>9430</v>
      </c>
      <c r="AR218" s="244">
        <v>931</v>
      </c>
      <c r="AS218" s="244">
        <v>7.63</v>
      </c>
      <c r="AT218" s="244">
        <v>3250</v>
      </c>
      <c r="AU218" s="244">
        <v>378</v>
      </c>
      <c r="AV218" s="244">
        <v>4.49</v>
      </c>
      <c r="AW218" s="244">
        <v>669</v>
      </c>
      <c r="AX218" s="244">
        <v>219000</v>
      </c>
      <c r="AY218" s="246" t="s">
        <v>806</v>
      </c>
    </row>
    <row r="219" spans="34:51" ht="12.75">
      <c r="AH219" s="243" t="s">
        <v>519</v>
      </c>
      <c r="AI219" s="244">
        <v>147</v>
      </c>
      <c r="AJ219" s="244">
        <v>19.6</v>
      </c>
      <c r="AK219" s="244">
        <v>2.19</v>
      </c>
      <c r="AL219" s="244">
        <v>17</v>
      </c>
      <c r="AM219" s="244">
        <v>3.5</v>
      </c>
      <c r="AN219" s="244">
        <v>4.1</v>
      </c>
      <c r="AO219" s="245">
        <v>4.73</v>
      </c>
      <c r="AP219" s="245">
        <v>0.33</v>
      </c>
      <c r="AQ219" s="244">
        <v>8210</v>
      </c>
      <c r="AR219" s="244">
        <v>838</v>
      </c>
      <c r="AS219" s="244">
        <v>7.48</v>
      </c>
      <c r="AT219" s="244">
        <v>2880</v>
      </c>
      <c r="AU219" s="244">
        <v>339</v>
      </c>
      <c r="AV219" s="244">
        <v>4.43</v>
      </c>
      <c r="AW219" s="244">
        <v>514</v>
      </c>
      <c r="AX219" s="244">
        <v>187000</v>
      </c>
      <c r="AY219" s="246" t="s">
        <v>807</v>
      </c>
    </row>
    <row r="220" spans="34:51" ht="12.75">
      <c r="AH220" s="243" t="s">
        <v>520</v>
      </c>
      <c r="AI220" s="244">
        <v>134</v>
      </c>
      <c r="AJ220" s="244">
        <v>19</v>
      </c>
      <c r="AK220" s="244">
        <v>2.02</v>
      </c>
      <c r="AL220" s="244">
        <v>16.8</v>
      </c>
      <c r="AM220" s="244">
        <v>3.21</v>
      </c>
      <c r="AN220" s="244">
        <v>3.81</v>
      </c>
      <c r="AO220" s="245">
        <v>4.68</v>
      </c>
      <c r="AP220" s="245">
        <v>0.35</v>
      </c>
      <c r="AQ220" s="244">
        <v>7190</v>
      </c>
      <c r="AR220" s="244">
        <v>756</v>
      </c>
      <c r="AS220" s="244">
        <v>7.33</v>
      </c>
      <c r="AT220" s="244">
        <v>2560</v>
      </c>
      <c r="AU220" s="244">
        <v>304</v>
      </c>
      <c r="AV220" s="244">
        <v>4.38</v>
      </c>
      <c r="AW220" s="244">
        <v>395</v>
      </c>
      <c r="AX220" s="244">
        <v>160000</v>
      </c>
      <c r="AY220" s="246" t="s">
        <v>808</v>
      </c>
    </row>
    <row r="221" spans="34:51" ht="12.75">
      <c r="AH221" s="243" t="s">
        <v>521</v>
      </c>
      <c r="AI221" s="244">
        <v>125</v>
      </c>
      <c r="AJ221" s="244">
        <v>18.7</v>
      </c>
      <c r="AK221" s="244">
        <v>1.88</v>
      </c>
      <c r="AL221" s="244">
        <v>16.7</v>
      </c>
      <c r="AM221" s="244">
        <v>3.04</v>
      </c>
      <c r="AN221" s="244">
        <v>3.63</v>
      </c>
      <c r="AO221" s="245">
        <v>4.64</v>
      </c>
      <c r="AP221" s="245">
        <v>0.37</v>
      </c>
      <c r="AQ221" s="244">
        <v>6600</v>
      </c>
      <c r="AR221" s="244">
        <v>706</v>
      </c>
      <c r="AS221" s="244">
        <v>7.26</v>
      </c>
      <c r="AT221" s="244">
        <v>2360</v>
      </c>
      <c r="AU221" s="244">
        <v>283</v>
      </c>
      <c r="AV221" s="244">
        <v>4.34</v>
      </c>
      <c r="AW221" s="244">
        <v>331</v>
      </c>
      <c r="AX221" s="244">
        <v>144000</v>
      </c>
      <c r="AY221" s="246" t="s">
        <v>809</v>
      </c>
    </row>
    <row r="222" spans="34:51" ht="12.75">
      <c r="AH222" s="243" t="s">
        <v>522</v>
      </c>
      <c r="AI222" s="244">
        <v>117</v>
      </c>
      <c r="AJ222" s="244">
        <v>18.3</v>
      </c>
      <c r="AK222" s="244">
        <v>1.77</v>
      </c>
      <c r="AL222" s="244">
        <v>16.6</v>
      </c>
      <c r="AM222" s="244">
        <v>2.85</v>
      </c>
      <c r="AN222" s="244">
        <v>3.44</v>
      </c>
      <c r="AO222" s="245">
        <v>4.61</v>
      </c>
      <c r="AP222" s="245">
        <v>0.39</v>
      </c>
      <c r="AQ222" s="244">
        <v>6000</v>
      </c>
      <c r="AR222" s="244">
        <v>656</v>
      </c>
      <c r="AS222" s="244">
        <v>7.16</v>
      </c>
      <c r="AT222" s="244">
        <v>2170</v>
      </c>
      <c r="AU222" s="244">
        <v>262</v>
      </c>
      <c r="AV222" s="244">
        <v>4.31</v>
      </c>
      <c r="AW222" s="244">
        <v>273</v>
      </c>
      <c r="AX222" s="244">
        <v>129000</v>
      </c>
      <c r="AY222" s="246" t="s">
        <v>810</v>
      </c>
    </row>
    <row r="223" spans="34:51" ht="12.75">
      <c r="AH223" s="243" t="s">
        <v>523</v>
      </c>
      <c r="AI223" s="244">
        <v>109</v>
      </c>
      <c r="AJ223" s="244">
        <v>17.9</v>
      </c>
      <c r="AK223" s="244">
        <v>1.66</v>
      </c>
      <c r="AL223" s="244">
        <v>16.5</v>
      </c>
      <c r="AM223" s="244">
        <v>2.66</v>
      </c>
      <c r="AN223" s="244">
        <v>3.26</v>
      </c>
      <c r="AO223" s="245">
        <v>4.57</v>
      </c>
      <c r="AP223" s="245">
        <v>0.41</v>
      </c>
      <c r="AQ223" s="244">
        <v>5440</v>
      </c>
      <c r="AR223" s="244">
        <v>607</v>
      </c>
      <c r="AS223" s="244">
        <v>7.07</v>
      </c>
      <c r="AT223" s="244">
        <v>1990</v>
      </c>
      <c r="AU223" s="244">
        <v>241</v>
      </c>
      <c r="AV223" s="244">
        <v>4.27</v>
      </c>
      <c r="AW223" s="244">
        <v>222</v>
      </c>
      <c r="AX223" s="244">
        <v>116000</v>
      </c>
      <c r="AY223" s="246" t="s">
        <v>745</v>
      </c>
    </row>
    <row r="224" spans="34:51" ht="12.75">
      <c r="AH224" s="243" t="s">
        <v>524</v>
      </c>
      <c r="AI224" s="244">
        <v>101</v>
      </c>
      <c r="AJ224" s="244">
        <v>17.5</v>
      </c>
      <c r="AK224" s="244">
        <v>1.54</v>
      </c>
      <c r="AL224" s="244">
        <v>16.4</v>
      </c>
      <c r="AM224" s="244">
        <v>2.47</v>
      </c>
      <c r="AN224" s="244">
        <v>3.07</v>
      </c>
      <c r="AO224" s="245">
        <v>4.54</v>
      </c>
      <c r="AP224" s="245">
        <v>0.43</v>
      </c>
      <c r="AQ224" s="244">
        <v>4900</v>
      </c>
      <c r="AR224" s="244">
        <v>558</v>
      </c>
      <c r="AS224" s="244">
        <v>6.98</v>
      </c>
      <c r="AT224" s="244">
        <v>1810</v>
      </c>
      <c r="AU224" s="244">
        <v>221</v>
      </c>
      <c r="AV224" s="244">
        <v>4.24</v>
      </c>
      <c r="AW224" s="244">
        <v>178</v>
      </c>
      <c r="AX224" s="244">
        <v>103000</v>
      </c>
      <c r="AY224" s="246" t="s">
        <v>811</v>
      </c>
    </row>
    <row r="225" spans="34:51" ht="12.75">
      <c r="AH225" s="243" t="s">
        <v>525</v>
      </c>
      <c r="AI225" s="244">
        <v>91.4</v>
      </c>
      <c r="AJ225" s="244">
        <v>17.1</v>
      </c>
      <c r="AK225" s="244">
        <v>1.41</v>
      </c>
      <c r="AL225" s="244">
        <v>16.2</v>
      </c>
      <c r="AM225" s="244">
        <v>2.26</v>
      </c>
      <c r="AN225" s="244">
        <v>2.86</v>
      </c>
      <c r="AO225" s="245">
        <v>4.5</v>
      </c>
      <c r="AP225" s="245">
        <v>0.47</v>
      </c>
      <c r="AQ225" s="244">
        <v>4330</v>
      </c>
      <c r="AR225" s="244">
        <v>506</v>
      </c>
      <c r="AS225" s="244">
        <v>6.88</v>
      </c>
      <c r="AT225" s="244">
        <v>1610</v>
      </c>
      <c r="AU225" s="244">
        <v>199</v>
      </c>
      <c r="AV225" s="244">
        <v>4.2</v>
      </c>
      <c r="AW225" s="244">
        <v>136</v>
      </c>
      <c r="AX225" s="244">
        <v>88900</v>
      </c>
      <c r="AY225" s="246" t="s">
        <v>778</v>
      </c>
    </row>
    <row r="226" spans="34:51" ht="12.75">
      <c r="AH226" s="243" t="s">
        <v>526</v>
      </c>
      <c r="AI226" s="244">
        <v>83.3</v>
      </c>
      <c r="AJ226" s="244">
        <v>16.7</v>
      </c>
      <c r="AK226" s="244">
        <v>1.29</v>
      </c>
      <c r="AL226" s="244">
        <v>16.1</v>
      </c>
      <c r="AM226" s="244">
        <v>2.07</v>
      </c>
      <c r="AN226" s="244">
        <v>2.67</v>
      </c>
      <c r="AO226" s="245">
        <v>4.46</v>
      </c>
      <c r="AP226" s="245">
        <v>0.5</v>
      </c>
      <c r="AQ226" s="244">
        <v>3840</v>
      </c>
      <c r="AR226" s="244">
        <v>459</v>
      </c>
      <c r="AS226" s="244">
        <v>6.79</v>
      </c>
      <c r="AT226" s="244">
        <v>1440</v>
      </c>
      <c r="AU226" s="244">
        <v>179</v>
      </c>
      <c r="AV226" s="244">
        <v>4.17</v>
      </c>
      <c r="AW226" s="244">
        <v>104</v>
      </c>
      <c r="AX226" s="244">
        <v>77500</v>
      </c>
      <c r="AY226" s="246" t="s">
        <v>779</v>
      </c>
    </row>
    <row r="227" spans="34:51" ht="12.75">
      <c r="AH227" s="243" t="s">
        <v>527</v>
      </c>
      <c r="AI227" s="244">
        <v>75.6</v>
      </c>
      <c r="AJ227" s="244">
        <v>16.4</v>
      </c>
      <c r="AK227" s="244">
        <v>1.18</v>
      </c>
      <c r="AL227" s="244">
        <v>16</v>
      </c>
      <c r="AM227" s="244">
        <v>1.89</v>
      </c>
      <c r="AN227" s="244">
        <v>2.49</v>
      </c>
      <c r="AO227" s="245">
        <v>4.43</v>
      </c>
      <c r="AP227" s="245">
        <v>0.54</v>
      </c>
      <c r="AQ227" s="244">
        <v>3400</v>
      </c>
      <c r="AR227" s="244">
        <v>415</v>
      </c>
      <c r="AS227" s="244">
        <v>6.71</v>
      </c>
      <c r="AT227" s="244">
        <v>1290</v>
      </c>
      <c r="AU227" s="244">
        <v>161</v>
      </c>
      <c r="AV227" s="244">
        <v>4.13</v>
      </c>
      <c r="AW227" s="244">
        <v>79.1</v>
      </c>
      <c r="AX227" s="244">
        <v>67700</v>
      </c>
      <c r="AY227" s="246" t="s">
        <v>812</v>
      </c>
    </row>
    <row r="228" spans="34:51" ht="12.75">
      <c r="AH228" s="243" t="s">
        <v>528</v>
      </c>
      <c r="AI228" s="244">
        <v>68.5</v>
      </c>
      <c r="AJ228" s="244">
        <v>16</v>
      </c>
      <c r="AK228" s="244">
        <v>1.07</v>
      </c>
      <c r="AL228" s="244">
        <v>15.9</v>
      </c>
      <c r="AM228" s="244">
        <v>1.72</v>
      </c>
      <c r="AN228" s="244">
        <v>2.32</v>
      </c>
      <c r="AO228" s="245">
        <v>4.4</v>
      </c>
      <c r="AP228" s="245">
        <v>0.59</v>
      </c>
      <c r="AQ228" s="244">
        <v>3010</v>
      </c>
      <c r="AR228" s="244">
        <v>375</v>
      </c>
      <c r="AS228" s="244">
        <v>6.63</v>
      </c>
      <c r="AT228" s="244">
        <v>1150</v>
      </c>
      <c r="AU228" s="244">
        <v>145</v>
      </c>
      <c r="AV228" s="244">
        <v>4.1</v>
      </c>
      <c r="AW228" s="244">
        <v>59.5</v>
      </c>
      <c r="AX228" s="244">
        <v>59000</v>
      </c>
      <c r="AY228" s="246" t="s">
        <v>813</v>
      </c>
    </row>
    <row r="229" spans="34:51" ht="12.75">
      <c r="AH229" s="243" t="s">
        <v>529</v>
      </c>
      <c r="AI229" s="244">
        <v>62</v>
      </c>
      <c r="AJ229" s="244">
        <v>15.7</v>
      </c>
      <c r="AK229" s="244">
        <v>0.98</v>
      </c>
      <c r="AL229" s="244">
        <v>15.8</v>
      </c>
      <c r="AM229" s="244">
        <v>1.56</v>
      </c>
      <c r="AN229" s="244">
        <v>2.16</v>
      </c>
      <c r="AO229" s="245">
        <v>4.37</v>
      </c>
      <c r="AP229" s="245">
        <v>0.64</v>
      </c>
      <c r="AQ229" s="244">
        <v>2660</v>
      </c>
      <c r="AR229" s="244">
        <v>338</v>
      </c>
      <c r="AS229" s="244">
        <v>6.55</v>
      </c>
      <c r="AT229" s="244">
        <v>1030</v>
      </c>
      <c r="AU229" s="244">
        <v>130</v>
      </c>
      <c r="AV229" s="244">
        <v>4.07</v>
      </c>
      <c r="AW229" s="244">
        <v>44.6</v>
      </c>
      <c r="AX229" s="244">
        <v>51600</v>
      </c>
      <c r="AY229" s="246" t="s">
        <v>659</v>
      </c>
    </row>
    <row r="230" spans="34:51" ht="12.75">
      <c r="AH230" s="243" t="s">
        <v>530</v>
      </c>
      <c r="AI230" s="244">
        <v>56.8</v>
      </c>
      <c r="AJ230" s="244">
        <v>15.5</v>
      </c>
      <c r="AK230" s="244">
        <v>0.89</v>
      </c>
      <c r="AL230" s="244">
        <v>15.7</v>
      </c>
      <c r="AM230" s="244">
        <v>1.44</v>
      </c>
      <c r="AN230" s="244">
        <v>2.04</v>
      </c>
      <c r="AO230" s="245">
        <v>4.35</v>
      </c>
      <c r="AP230" s="245">
        <v>0.68</v>
      </c>
      <c r="AQ230" s="244">
        <v>2400</v>
      </c>
      <c r="AR230" s="244">
        <v>310</v>
      </c>
      <c r="AS230" s="244">
        <v>6.5</v>
      </c>
      <c r="AT230" s="244">
        <v>931</v>
      </c>
      <c r="AU230" s="244">
        <v>119</v>
      </c>
      <c r="AV230" s="244">
        <v>4.05</v>
      </c>
      <c r="AW230" s="244">
        <v>34.8</v>
      </c>
      <c r="AX230" s="244">
        <v>45900</v>
      </c>
      <c r="AY230" s="246" t="s">
        <v>814</v>
      </c>
    </row>
    <row r="231" spans="34:51" ht="12.75">
      <c r="AH231" s="243" t="s">
        <v>531</v>
      </c>
      <c r="AI231" s="244">
        <v>51.8</v>
      </c>
      <c r="AJ231" s="244">
        <v>15.2</v>
      </c>
      <c r="AK231" s="244">
        <v>0.83</v>
      </c>
      <c r="AL231" s="244">
        <v>15.7</v>
      </c>
      <c r="AM231" s="244">
        <v>1.31</v>
      </c>
      <c r="AN231" s="244">
        <v>1.91</v>
      </c>
      <c r="AO231" s="245">
        <v>4.32</v>
      </c>
      <c r="AP231" s="245">
        <v>0.74</v>
      </c>
      <c r="AQ231" s="244">
        <v>2140</v>
      </c>
      <c r="AR231" s="244">
        <v>281</v>
      </c>
      <c r="AS231" s="244">
        <v>6.43</v>
      </c>
      <c r="AT231" s="244">
        <v>838</v>
      </c>
      <c r="AU231" s="244">
        <v>107</v>
      </c>
      <c r="AV231" s="244">
        <v>4.02</v>
      </c>
      <c r="AW231" s="244">
        <v>26.5</v>
      </c>
      <c r="AX231" s="244">
        <v>40500</v>
      </c>
      <c r="AY231" s="246" t="s">
        <v>751</v>
      </c>
    </row>
    <row r="232" spans="34:51" ht="12.75">
      <c r="AH232" s="243" t="s">
        <v>532</v>
      </c>
      <c r="AI232" s="244">
        <v>46.7</v>
      </c>
      <c r="AJ232" s="244">
        <v>15</v>
      </c>
      <c r="AK232" s="244">
        <v>0.745</v>
      </c>
      <c r="AL232" s="244">
        <v>15.6</v>
      </c>
      <c r="AM232" s="244">
        <v>1.19</v>
      </c>
      <c r="AN232" s="244">
        <v>1.79</v>
      </c>
      <c r="AO232" s="245">
        <v>4.3</v>
      </c>
      <c r="AP232" s="245">
        <v>0.81</v>
      </c>
      <c r="AQ232" s="244">
        <v>1900</v>
      </c>
      <c r="AR232" s="244">
        <v>254</v>
      </c>
      <c r="AS232" s="244">
        <v>6.38</v>
      </c>
      <c r="AT232" s="244">
        <v>748</v>
      </c>
      <c r="AU232" s="244">
        <v>96.2</v>
      </c>
      <c r="AV232" s="244">
        <v>4</v>
      </c>
      <c r="AW232" s="244">
        <v>19.7</v>
      </c>
      <c r="AX232" s="244">
        <v>35600</v>
      </c>
      <c r="AY232" s="246" t="s">
        <v>815</v>
      </c>
    </row>
    <row r="233" spans="34:51" ht="12.75">
      <c r="AH233" s="243" t="s">
        <v>533</v>
      </c>
      <c r="AI233" s="244">
        <v>42.7</v>
      </c>
      <c r="AJ233" s="244">
        <v>14.8</v>
      </c>
      <c r="AK233" s="244">
        <v>0.68</v>
      </c>
      <c r="AL233" s="244">
        <v>15.5</v>
      </c>
      <c r="AM233" s="244">
        <v>1.09</v>
      </c>
      <c r="AN233" s="244">
        <v>1.69</v>
      </c>
      <c r="AO233" s="245">
        <v>4.28</v>
      </c>
      <c r="AP233" s="245">
        <v>0.87</v>
      </c>
      <c r="AQ233" s="244">
        <v>1710</v>
      </c>
      <c r="AR233" s="244">
        <v>232</v>
      </c>
      <c r="AS233" s="244">
        <v>6.33</v>
      </c>
      <c r="AT233" s="244">
        <v>677</v>
      </c>
      <c r="AU233" s="244">
        <v>87.3</v>
      </c>
      <c r="AV233" s="244">
        <v>3.98</v>
      </c>
      <c r="AW233" s="244">
        <v>15.2</v>
      </c>
      <c r="AX233" s="244">
        <v>31700</v>
      </c>
      <c r="AY233" s="246" t="s">
        <v>816</v>
      </c>
    </row>
    <row r="234" spans="34:51" ht="12.75">
      <c r="AH234" s="243" t="s">
        <v>534</v>
      </c>
      <c r="AI234" s="244">
        <v>38.8</v>
      </c>
      <c r="AJ234" s="244">
        <v>14.7</v>
      </c>
      <c r="AK234" s="244">
        <v>0.645</v>
      </c>
      <c r="AL234" s="244">
        <v>14.7</v>
      </c>
      <c r="AM234" s="244">
        <v>1.03</v>
      </c>
      <c r="AN234" s="244">
        <v>1.63</v>
      </c>
      <c r="AO234" s="245">
        <v>4.05</v>
      </c>
      <c r="AP234" s="245">
        <v>0.97</v>
      </c>
      <c r="AQ234" s="244">
        <v>1530</v>
      </c>
      <c r="AR234" s="244">
        <v>209</v>
      </c>
      <c r="AS234" s="244">
        <v>6.28</v>
      </c>
      <c r="AT234" s="244">
        <v>548</v>
      </c>
      <c r="AU234" s="244">
        <v>74.5</v>
      </c>
      <c r="AV234" s="244">
        <v>3.76</v>
      </c>
      <c r="AW234" s="244">
        <v>12.3</v>
      </c>
      <c r="AX234" s="244">
        <v>25500</v>
      </c>
      <c r="AY234" s="246" t="s">
        <v>718</v>
      </c>
    </row>
    <row r="235" spans="34:51" ht="12.75">
      <c r="AH235" s="243" t="s">
        <v>535</v>
      </c>
      <c r="AI235" s="244">
        <v>35.3</v>
      </c>
      <c r="AJ235" s="244">
        <v>14.5</v>
      </c>
      <c r="AK235" s="244">
        <v>0.59</v>
      </c>
      <c r="AL235" s="244">
        <v>14.7</v>
      </c>
      <c r="AM235" s="244">
        <v>0.94</v>
      </c>
      <c r="AN235" s="244">
        <v>1.54</v>
      </c>
      <c r="AO235" s="245">
        <v>4.04</v>
      </c>
      <c r="AP235" s="245">
        <v>1.05</v>
      </c>
      <c r="AQ235" s="244">
        <v>1380</v>
      </c>
      <c r="AR235" s="244">
        <v>190</v>
      </c>
      <c r="AS235" s="244">
        <v>6.24</v>
      </c>
      <c r="AT235" s="244">
        <v>495</v>
      </c>
      <c r="AU235" s="244">
        <v>67.5</v>
      </c>
      <c r="AV235" s="244">
        <v>3.74</v>
      </c>
      <c r="AW235" s="244">
        <v>9.37</v>
      </c>
      <c r="AX235" s="244">
        <v>22700</v>
      </c>
      <c r="AY235" s="246" t="s">
        <v>817</v>
      </c>
    </row>
    <row r="236" spans="34:51" ht="12.75">
      <c r="AH236" s="243" t="s">
        <v>536</v>
      </c>
      <c r="AI236" s="244">
        <v>32</v>
      </c>
      <c r="AJ236" s="244">
        <v>14.3</v>
      </c>
      <c r="AK236" s="244">
        <v>0.525</v>
      </c>
      <c r="AL236" s="244">
        <v>14.6</v>
      </c>
      <c r="AM236" s="244">
        <v>0.86</v>
      </c>
      <c r="AN236" s="244">
        <v>1.46</v>
      </c>
      <c r="AO236" s="245">
        <v>4.02</v>
      </c>
      <c r="AP236" s="245">
        <v>1.14</v>
      </c>
      <c r="AQ236" s="244">
        <v>1240</v>
      </c>
      <c r="AR236" s="244">
        <v>173</v>
      </c>
      <c r="AS236" s="244">
        <v>6.22</v>
      </c>
      <c r="AT236" s="244">
        <v>447</v>
      </c>
      <c r="AU236" s="244">
        <v>61.2</v>
      </c>
      <c r="AV236" s="244">
        <v>3.73</v>
      </c>
      <c r="AW236" s="244">
        <v>7.12</v>
      </c>
      <c r="AX236" s="244">
        <v>20200</v>
      </c>
      <c r="AY236" s="246" t="s">
        <v>818</v>
      </c>
    </row>
    <row r="237" spans="34:51" ht="12.75">
      <c r="AH237" s="243" t="s">
        <v>537</v>
      </c>
      <c r="AI237" s="244">
        <v>29.1</v>
      </c>
      <c r="AJ237" s="244">
        <v>14.2</v>
      </c>
      <c r="AK237" s="244">
        <v>0.485</v>
      </c>
      <c r="AL237" s="244">
        <v>14.6</v>
      </c>
      <c r="AM237" s="244">
        <v>0.78</v>
      </c>
      <c r="AN237" s="244">
        <v>1.38</v>
      </c>
      <c r="AO237" s="245">
        <v>4</v>
      </c>
      <c r="AP237" s="245">
        <v>1.25</v>
      </c>
      <c r="AQ237" s="244">
        <v>1110</v>
      </c>
      <c r="AR237" s="244">
        <v>157</v>
      </c>
      <c r="AS237" s="244">
        <v>6.17</v>
      </c>
      <c r="AT237" s="244">
        <v>402</v>
      </c>
      <c r="AU237" s="244">
        <v>55.2</v>
      </c>
      <c r="AV237" s="244">
        <v>3.71</v>
      </c>
      <c r="AW237" s="244">
        <v>5.37</v>
      </c>
      <c r="AX237" s="244">
        <v>18000</v>
      </c>
      <c r="AY237" s="246" t="s">
        <v>722</v>
      </c>
    </row>
    <row r="238" spans="34:51" ht="12.75">
      <c r="AH238" s="243" t="s">
        <v>538</v>
      </c>
      <c r="AI238" s="244">
        <v>26.5</v>
      </c>
      <c r="AJ238" s="244">
        <v>14</v>
      </c>
      <c r="AK238" s="244">
        <v>0.44</v>
      </c>
      <c r="AL238" s="244">
        <v>14.5</v>
      </c>
      <c r="AM238" s="244">
        <v>0.71</v>
      </c>
      <c r="AN238" s="244">
        <v>1.31</v>
      </c>
      <c r="AO238" s="245">
        <v>3.99</v>
      </c>
      <c r="AP238" s="245">
        <v>1.36</v>
      </c>
      <c r="AQ238" s="244">
        <v>999</v>
      </c>
      <c r="AR238" s="244">
        <v>143</v>
      </c>
      <c r="AS238" s="244">
        <v>6.14</v>
      </c>
      <c r="AT238" s="244">
        <v>362</v>
      </c>
      <c r="AU238" s="244">
        <v>49.9</v>
      </c>
      <c r="AV238" s="244">
        <v>3.7</v>
      </c>
      <c r="AW238" s="244">
        <v>4.06</v>
      </c>
      <c r="AX238" s="244">
        <v>16000</v>
      </c>
      <c r="AY238" s="246" t="s">
        <v>723</v>
      </c>
    </row>
    <row r="239" spans="34:51" ht="12.75">
      <c r="AH239" s="243" t="s">
        <v>539</v>
      </c>
      <c r="AI239" s="244">
        <v>24</v>
      </c>
      <c r="AJ239" s="244">
        <v>14.3</v>
      </c>
      <c r="AK239" s="244">
        <v>0.51</v>
      </c>
      <c r="AL239" s="244">
        <v>10.1</v>
      </c>
      <c r="AM239" s="244">
        <v>0.855</v>
      </c>
      <c r="AN239" s="244">
        <v>1.45</v>
      </c>
      <c r="AO239" s="245">
        <v>2.74</v>
      </c>
      <c r="AP239" s="245">
        <v>1.65</v>
      </c>
      <c r="AQ239" s="244">
        <v>881</v>
      </c>
      <c r="AR239" s="244">
        <v>123</v>
      </c>
      <c r="AS239" s="244">
        <v>6.05</v>
      </c>
      <c r="AT239" s="244">
        <v>148</v>
      </c>
      <c r="AU239" s="244">
        <v>29.3</v>
      </c>
      <c r="AV239" s="244">
        <v>2.48</v>
      </c>
      <c r="AW239" s="244">
        <v>5.07</v>
      </c>
      <c r="AX239" s="244">
        <v>6700</v>
      </c>
      <c r="AY239" s="246" t="s">
        <v>819</v>
      </c>
    </row>
    <row r="240" spans="34:51" ht="12.75">
      <c r="AH240" s="243" t="s">
        <v>540</v>
      </c>
      <c r="AI240" s="244">
        <v>21.8</v>
      </c>
      <c r="AJ240" s="244">
        <v>14.2</v>
      </c>
      <c r="AK240" s="244">
        <v>0.45</v>
      </c>
      <c r="AL240" s="244">
        <v>10.1</v>
      </c>
      <c r="AM240" s="244">
        <v>0.785</v>
      </c>
      <c r="AN240" s="244">
        <v>1.38</v>
      </c>
      <c r="AO240" s="245">
        <v>2.72</v>
      </c>
      <c r="AP240" s="245">
        <v>1.79</v>
      </c>
      <c r="AQ240" s="244">
        <v>795</v>
      </c>
      <c r="AR240" s="244">
        <v>112</v>
      </c>
      <c r="AS240" s="244">
        <v>6.04</v>
      </c>
      <c r="AT240" s="244">
        <v>134</v>
      </c>
      <c r="AU240" s="244">
        <v>26.6</v>
      </c>
      <c r="AV240" s="244">
        <v>2.48</v>
      </c>
      <c r="AW240" s="244">
        <v>3.87</v>
      </c>
      <c r="AX240" s="244">
        <v>6000</v>
      </c>
      <c r="AY240" s="246" t="s">
        <v>820</v>
      </c>
    </row>
    <row r="241" spans="34:51" ht="12.75">
      <c r="AH241" s="243" t="s">
        <v>541</v>
      </c>
      <c r="AI241" s="244">
        <v>20</v>
      </c>
      <c r="AJ241" s="244">
        <v>14</v>
      </c>
      <c r="AK241" s="244">
        <v>0.415</v>
      </c>
      <c r="AL241" s="244">
        <v>10</v>
      </c>
      <c r="AM241" s="244">
        <v>0.72</v>
      </c>
      <c r="AN241" s="244">
        <v>1.31</v>
      </c>
      <c r="AO241" s="245">
        <v>2.71</v>
      </c>
      <c r="AP241" s="245">
        <v>1.94</v>
      </c>
      <c r="AQ241" s="244">
        <v>722</v>
      </c>
      <c r="AR241" s="244">
        <v>103</v>
      </c>
      <c r="AS241" s="244">
        <v>6.01</v>
      </c>
      <c r="AT241" s="244">
        <v>121</v>
      </c>
      <c r="AU241" s="244">
        <v>24.2</v>
      </c>
      <c r="AV241" s="244">
        <v>2.46</v>
      </c>
      <c r="AW241" s="244">
        <v>3.01</v>
      </c>
      <c r="AX241" s="244">
        <v>5370</v>
      </c>
      <c r="AY241" s="246" t="s">
        <v>758</v>
      </c>
    </row>
    <row r="242" spans="34:51" ht="12.75">
      <c r="AH242" s="243" t="s">
        <v>542</v>
      </c>
      <c r="AI242" s="244">
        <v>17.9</v>
      </c>
      <c r="AJ242" s="244">
        <v>13.9</v>
      </c>
      <c r="AK242" s="244">
        <v>0.375</v>
      </c>
      <c r="AL242" s="244">
        <v>9.99</v>
      </c>
      <c r="AM242" s="244">
        <v>0.645</v>
      </c>
      <c r="AN242" s="244">
        <v>1.24</v>
      </c>
      <c r="AO242" s="245">
        <v>2.7</v>
      </c>
      <c r="AP242" s="245">
        <v>2.15</v>
      </c>
      <c r="AQ242" s="244">
        <v>640</v>
      </c>
      <c r="AR242" s="244">
        <v>92.1</v>
      </c>
      <c r="AS242" s="244">
        <v>5.98</v>
      </c>
      <c r="AT242" s="244">
        <v>107</v>
      </c>
      <c r="AU242" s="244">
        <v>21.5</v>
      </c>
      <c r="AV242" s="244">
        <v>2.45</v>
      </c>
      <c r="AW242" s="244">
        <v>2.19</v>
      </c>
      <c r="AX242" s="244">
        <v>4690</v>
      </c>
      <c r="AY242" s="246" t="s">
        <v>821</v>
      </c>
    </row>
    <row r="243" spans="34:51" ht="12.75">
      <c r="AH243" s="243" t="s">
        <v>543</v>
      </c>
      <c r="AI243" s="244">
        <v>15.6</v>
      </c>
      <c r="AJ243" s="244">
        <v>13.9</v>
      </c>
      <c r="AK243" s="244">
        <v>0.37</v>
      </c>
      <c r="AL243" s="244">
        <v>8.06</v>
      </c>
      <c r="AM243" s="244">
        <v>0.66</v>
      </c>
      <c r="AN243" s="244">
        <v>1.25</v>
      </c>
      <c r="AO243" s="245">
        <v>2.15</v>
      </c>
      <c r="AP243" s="245">
        <v>2.62</v>
      </c>
      <c r="AQ243" s="244">
        <v>541</v>
      </c>
      <c r="AR243" s="244">
        <v>77.8</v>
      </c>
      <c r="AS243" s="244">
        <v>5.89</v>
      </c>
      <c r="AT243" s="244">
        <v>57.7</v>
      </c>
      <c r="AU243" s="244">
        <v>14.3</v>
      </c>
      <c r="AV243" s="244">
        <v>1.92</v>
      </c>
      <c r="AW243" s="244">
        <v>1.94</v>
      </c>
      <c r="AX243" s="244">
        <v>2540</v>
      </c>
      <c r="AY243" s="246" t="s">
        <v>822</v>
      </c>
    </row>
    <row r="244" spans="34:51" ht="12.75">
      <c r="AH244" s="243" t="s">
        <v>544</v>
      </c>
      <c r="AI244" s="244">
        <v>14.1</v>
      </c>
      <c r="AJ244" s="244">
        <v>13.8</v>
      </c>
      <c r="AK244" s="244">
        <v>0.34</v>
      </c>
      <c r="AL244" s="244">
        <v>8.03</v>
      </c>
      <c r="AM244" s="244">
        <v>0.595</v>
      </c>
      <c r="AN244" s="244">
        <v>1.19</v>
      </c>
      <c r="AO244" s="245">
        <v>2.13</v>
      </c>
      <c r="AP244" s="245">
        <v>2.89</v>
      </c>
      <c r="AQ244" s="244">
        <v>484</v>
      </c>
      <c r="AR244" s="244">
        <v>70.2</v>
      </c>
      <c r="AS244" s="244">
        <v>5.85</v>
      </c>
      <c r="AT244" s="244">
        <v>51.4</v>
      </c>
      <c r="AU244" s="244">
        <v>12.8</v>
      </c>
      <c r="AV244" s="244">
        <v>1.91</v>
      </c>
      <c r="AW244" s="244">
        <v>1.45</v>
      </c>
      <c r="AX244" s="244">
        <v>2240</v>
      </c>
      <c r="AY244" s="246" t="s">
        <v>776</v>
      </c>
    </row>
    <row r="245" spans="34:51" ht="12.75">
      <c r="AH245" s="243" t="s">
        <v>545</v>
      </c>
      <c r="AI245" s="244">
        <v>12.6</v>
      </c>
      <c r="AJ245" s="244">
        <v>13.7</v>
      </c>
      <c r="AK245" s="244">
        <v>0.305</v>
      </c>
      <c r="AL245" s="244">
        <v>8</v>
      </c>
      <c r="AM245" s="244">
        <v>0.53</v>
      </c>
      <c r="AN245" s="244">
        <v>1.12</v>
      </c>
      <c r="AO245" s="245">
        <v>2.12</v>
      </c>
      <c r="AP245" s="245">
        <v>3.22</v>
      </c>
      <c r="AQ245" s="244">
        <v>428</v>
      </c>
      <c r="AR245" s="244">
        <v>62.6</v>
      </c>
      <c r="AS245" s="244">
        <v>5.82</v>
      </c>
      <c r="AT245" s="244">
        <v>45.2</v>
      </c>
      <c r="AU245" s="244">
        <v>11.3</v>
      </c>
      <c r="AV245" s="244">
        <v>1.89</v>
      </c>
      <c r="AW245" s="244">
        <v>1.05</v>
      </c>
      <c r="AX245" s="244">
        <v>1950</v>
      </c>
      <c r="AY245" s="246" t="s">
        <v>823</v>
      </c>
    </row>
    <row r="246" spans="34:51" ht="12.75">
      <c r="AH246" s="243" t="s">
        <v>546</v>
      </c>
      <c r="AI246" s="244">
        <v>11.2</v>
      </c>
      <c r="AJ246" s="244">
        <v>14.1</v>
      </c>
      <c r="AK246" s="244">
        <v>0.31</v>
      </c>
      <c r="AL246" s="244">
        <v>6.77</v>
      </c>
      <c r="AM246" s="244">
        <v>0.515</v>
      </c>
      <c r="AN246" s="244">
        <v>0.915</v>
      </c>
      <c r="AO246" s="245">
        <v>1.77</v>
      </c>
      <c r="AP246" s="245">
        <v>4.04</v>
      </c>
      <c r="AQ246" s="244">
        <v>385</v>
      </c>
      <c r="AR246" s="244">
        <v>54.6</v>
      </c>
      <c r="AS246" s="244">
        <v>5.87</v>
      </c>
      <c r="AT246" s="244">
        <v>26.7</v>
      </c>
      <c r="AU246" s="244">
        <v>7.88</v>
      </c>
      <c r="AV246" s="244">
        <v>1.55</v>
      </c>
      <c r="AW246" s="244">
        <v>0.798</v>
      </c>
      <c r="AX246" s="244">
        <v>1230</v>
      </c>
      <c r="AY246" s="246" t="s">
        <v>824</v>
      </c>
    </row>
    <row r="247" spans="34:51" ht="12.75">
      <c r="AH247" s="243" t="s">
        <v>547</v>
      </c>
      <c r="AI247" s="244">
        <v>10</v>
      </c>
      <c r="AJ247" s="244">
        <v>14</v>
      </c>
      <c r="AK247" s="244">
        <v>0.285</v>
      </c>
      <c r="AL247" s="244">
        <v>6.75</v>
      </c>
      <c r="AM247" s="244">
        <v>0.455</v>
      </c>
      <c r="AN247" s="244">
        <v>0.855</v>
      </c>
      <c r="AO247" s="245">
        <v>1.76</v>
      </c>
      <c r="AP247" s="245">
        <v>4.56</v>
      </c>
      <c r="AQ247" s="244">
        <v>340</v>
      </c>
      <c r="AR247" s="244">
        <v>48.6</v>
      </c>
      <c r="AS247" s="244">
        <v>5.83</v>
      </c>
      <c r="AT247" s="244">
        <v>23.3</v>
      </c>
      <c r="AU247" s="244">
        <v>6.91</v>
      </c>
      <c r="AV247" s="244">
        <v>1.53</v>
      </c>
      <c r="AW247" s="244">
        <v>0.569</v>
      </c>
      <c r="AX247" s="244">
        <v>1070</v>
      </c>
      <c r="AY247" s="246" t="s">
        <v>310</v>
      </c>
    </row>
    <row r="248" spans="34:51" ht="12.75">
      <c r="AH248" s="243" t="s">
        <v>548</v>
      </c>
      <c r="AI248" s="244">
        <v>8.85</v>
      </c>
      <c r="AJ248" s="244">
        <v>13.8</v>
      </c>
      <c r="AK248" s="244">
        <v>0.27</v>
      </c>
      <c r="AL248" s="244">
        <v>6.73</v>
      </c>
      <c r="AM248" s="244">
        <v>0.385</v>
      </c>
      <c r="AN248" s="244">
        <v>0.785</v>
      </c>
      <c r="AO248" s="245">
        <v>1.74</v>
      </c>
      <c r="AP248" s="245">
        <v>5.34</v>
      </c>
      <c r="AQ248" s="244">
        <v>291</v>
      </c>
      <c r="AR248" s="244">
        <v>42</v>
      </c>
      <c r="AS248" s="244">
        <v>5.73</v>
      </c>
      <c r="AT248" s="244">
        <v>19.6</v>
      </c>
      <c r="AU248" s="244">
        <v>5.82</v>
      </c>
      <c r="AV248" s="244">
        <v>1.49</v>
      </c>
      <c r="AW248" s="244">
        <v>0.38</v>
      </c>
      <c r="AX248" s="244">
        <v>887</v>
      </c>
      <c r="AY248" s="246" t="s">
        <v>825</v>
      </c>
    </row>
    <row r="249" spans="34:51" ht="12.75">
      <c r="AH249" s="243" t="s">
        <v>549</v>
      </c>
      <c r="AI249" s="244">
        <v>7.69</v>
      </c>
      <c r="AJ249" s="244">
        <v>13.9</v>
      </c>
      <c r="AK249" s="244">
        <v>0.255</v>
      </c>
      <c r="AL249" s="244">
        <v>5.03</v>
      </c>
      <c r="AM249" s="244">
        <v>0.42</v>
      </c>
      <c r="AN249" s="244">
        <v>0.82</v>
      </c>
      <c r="AO249" s="245">
        <v>1.28</v>
      </c>
      <c r="AP249" s="245">
        <v>6.59</v>
      </c>
      <c r="AQ249" s="244">
        <v>245</v>
      </c>
      <c r="AR249" s="244">
        <v>35.3</v>
      </c>
      <c r="AS249" s="244">
        <v>5.65</v>
      </c>
      <c r="AT249" s="244">
        <v>8.91</v>
      </c>
      <c r="AU249" s="244">
        <v>3.55</v>
      </c>
      <c r="AV249" s="244">
        <v>1.08</v>
      </c>
      <c r="AW249" s="244">
        <v>0.358</v>
      </c>
      <c r="AX249" s="244">
        <v>405</v>
      </c>
      <c r="AY249" s="246" t="s">
        <v>801</v>
      </c>
    </row>
    <row r="250" spans="34:51" ht="12.75">
      <c r="AH250" s="243" t="s">
        <v>550</v>
      </c>
      <c r="AI250" s="244">
        <v>6.49</v>
      </c>
      <c r="AJ250" s="244">
        <v>13.7</v>
      </c>
      <c r="AK250" s="244">
        <v>0.23</v>
      </c>
      <c r="AL250" s="244">
        <v>5</v>
      </c>
      <c r="AM250" s="244">
        <v>0.335</v>
      </c>
      <c r="AN250" s="244">
        <v>0.735</v>
      </c>
      <c r="AO250" s="245">
        <v>1.25</v>
      </c>
      <c r="AP250" s="245">
        <v>8.2</v>
      </c>
      <c r="AQ250" s="244">
        <v>199</v>
      </c>
      <c r="AR250" s="244">
        <v>29</v>
      </c>
      <c r="AS250" s="244">
        <v>5.54</v>
      </c>
      <c r="AT250" s="244">
        <v>7</v>
      </c>
      <c r="AU250" s="244">
        <v>2.8</v>
      </c>
      <c r="AV250" s="244">
        <v>1.04</v>
      </c>
      <c r="AW250" s="244">
        <v>0.208</v>
      </c>
      <c r="AX250" s="244">
        <v>314</v>
      </c>
      <c r="AY250" s="246" t="s">
        <v>826</v>
      </c>
    </row>
    <row r="251" spans="34:51" ht="12.75">
      <c r="AH251" s="243" t="s">
        <v>551</v>
      </c>
      <c r="AI251" s="244">
        <v>98.8</v>
      </c>
      <c r="AJ251" s="244">
        <v>16.8</v>
      </c>
      <c r="AK251" s="244">
        <v>1.78</v>
      </c>
      <c r="AL251" s="244">
        <v>13.4</v>
      </c>
      <c r="AM251" s="244">
        <v>2.96</v>
      </c>
      <c r="AN251" s="244">
        <v>3.55</v>
      </c>
      <c r="AO251" s="245">
        <v>3.71</v>
      </c>
      <c r="AP251" s="245">
        <v>0.43</v>
      </c>
      <c r="AQ251" s="244">
        <v>4060</v>
      </c>
      <c r="AR251" s="244">
        <v>483</v>
      </c>
      <c r="AS251" s="244">
        <v>6.41</v>
      </c>
      <c r="AT251" s="244">
        <v>1190</v>
      </c>
      <c r="AU251" s="244">
        <v>177</v>
      </c>
      <c r="AV251" s="244">
        <v>3.47</v>
      </c>
      <c r="AW251" s="244">
        <v>243</v>
      </c>
      <c r="AX251" s="244">
        <v>57200</v>
      </c>
      <c r="AY251" s="246" t="s">
        <v>729</v>
      </c>
    </row>
    <row r="252" spans="34:51" ht="12.75">
      <c r="AH252" s="243" t="s">
        <v>552</v>
      </c>
      <c r="AI252" s="244">
        <v>89.6</v>
      </c>
      <c r="AJ252" s="244">
        <v>16.3</v>
      </c>
      <c r="AK252" s="244">
        <v>1.63</v>
      </c>
      <c r="AL252" s="244">
        <v>13.2</v>
      </c>
      <c r="AM252" s="244">
        <v>2.71</v>
      </c>
      <c r="AN252" s="244">
        <v>3.3</v>
      </c>
      <c r="AO252" s="245">
        <v>3.67</v>
      </c>
      <c r="AP252" s="245">
        <v>0.46</v>
      </c>
      <c r="AQ252" s="244">
        <v>3550</v>
      </c>
      <c r="AR252" s="244">
        <v>435</v>
      </c>
      <c r="AS252" s="244">
        <v>6.29</v>
      </c>
      <c r="AT252" s="244">
        <v>1050</v>
      </c>
      <c r="AU252" s="244">
        <v>159</v>
      </c>
      <c r="AV252" s="244">
        <v>3.42</v>
      </c>
      <c r="AW252" s="244">
        <v>185</v>
      </c>
      <c r="AX252" s="244">
        <v>48700</v>
      </c>
      <c r="AY252" s="246" t="s">
        <v>827</v>
      </c>
    </row>
    <row r="253" spans="34:51" ht="12.75">
      <c r="AH253" s="243" t="s">
        <v>553</v>
      </c>
      <c r="AI253" s="244">
        <v>81.9</v>
      </c>
      <c r="AJ253" s="244">
        <v>15.9</v>
      </c>
      <c r="AK253" s="244">
        <v>1.53</v>
      </c>
      <c r="AL253" s="244">
        <v>13.1</v>
      </c>
      <c r="AM253" s="244">
        <v>2.47</v>
      </c>
      <c r="AN253" s="244">
        <v>3.07</v>
      </c>
      <c r="AO253" s="245">
        <v>3.64</v>
      </c>
      <c r="AP253" s="245">
        <v>0.49</v>
      </c>
      <c r="AQ253" s="244">
        <v>3110</v>
      </c>
      <c r="AR253" s="244">
        <v>393</v>
      </c>
      <c r="AS253" s="244">
        <v>6.16</v>
      </c>
      <c r="AT253" s="244">
        <v>937</v>
      </c>
      <c r="AU253" s="244">
        <v>143</v>
      </c>
      <c r="AV253" s="244">
        <v>3.38</v>
      </c>
      <c r="AW253" s="244">
        <v>143</v>
      </c>
      <c r="AX253" s="244">
        <v>41900</v>
      </c>
      <c r="AY253" s="246" t="s">
        <v>747</v>
      </c>
    </row>
    <row r="254" spans="34:51" ht="12.75">
      <c r="AH254" s="243" t="s">
        <v>554</v>
      </c>
      <c r="AI254" s="244">
        <v>74</v>
      </c>
      <c r="AJ254" s="244">
        <v>15.4</v>
      </c>
      <c r="AK254" s="244">
        <v>1.4</v>
      </c>
      <c r="AL254" s="244">
        <v>13</v>
      </c>
      <c r="AM254" s="244">
        <v>2.25</v>
      </c>
      <c r="AN254" s="244">
        <v>2.85</v>
      </c>
      <c r="AO254" s="245">
        <v>3.59</v>
      </c>
      <c r="AP254" s="245">
        <v>0.53</v>
      </c>
      <c r="AQ254" s="244">
        <v>2720</v>
      </c>
      <c r="AR254" s="244">
        <v>353</v>
      </c>
      <c r="AS254" s="244">
        <v>6.06</v>
      </c>
      <c r="AT254" s="244">
        <v>828</v>
      </c>
      <c r="AU254" s="244">
        <v>127</v>
      </c>
      <c r="AV254" s="244">
        <v>3.34</v>
      </c>
      <c r="AW254" s="244">
        <v>108</v>
      </c>
      <c r="AX254" s="244">
        <v>35800</v>
      </c>
      <c r="AY254" s="246" t="s">
        <v>828</v>
      </c>
    </row>
    <row r="255" spans="34:51" ht="12.75">
      <c r="AH255" s="243" t="s">
        <v>555</v>
      </c>
      <c r="AI255" s="244">
        <v>67.7</v>
      </c>
      <c r="AJ255" s="244">
        <v>15.1</v>
      </c>
      <c r="AK255" s="244">
        <v>1.29</v>
      </c>
      <c r="AL255" s="244">
        <v>12.9</v>
      </c>
      <c r="AM255" s="244">
        <v>2.07</v>
      </c>
      <c r="AN255" s="244">
        <v>2.67</v>
      </c>
      <c r="AO255" s="245">
        <v>3.56</v>
      </c>
      <c r="AP255" s="245">
        <v>0.56</v>
      </c>
      <c r="AQ255" s="244">
        <v>2420</v>
      </c>
      <c r="AR255" s="244">
        <v>321</v>
      </c>
      <c r="AS255" s="244">
        <v>5.97</v>
      </c>
      <c r="AT255" s="244">
        <v>742</v>
      </c>
      <c r="AU255" s="244">
        <v>115</v>
      </c>
      <c r="AV255" s="244">
        <v>3.31</v>
      </c>
      <c r="AW255" s="244">
        <v>83.8</v>
      </c>
      <c r="AX255" s="244">
        <v>31300</v>
      </c>
      <c r="AY255" s="246" t="s">
        <v>628</v>
      </c>
    </row>
    <row r="256" spans="34:51" ht="12.75">
      <c r="AH256" s="243" t="s">
        <v>556</v>
      </c>
      <c r="AI256" s="244">
        <v>61.8</v>
      </c>
      <c r="AJ256" s="244">
        <v>14.7</v>
      </c>
      <c r="AK256" s="244">
        <v>1.18</v>
      </c>
      <c r="AL256" s="244">
        <v>12.8</v>
      </c>
      <c r="AM256" s="244">
        <v>1.9</v>
      </c>
      <c r="AN256" s="244">
        <v>2.5</v>
      </c>
      <c r="AO256" s="245">
        <v>3.53</v>
      </c>
      <c r="AP256" s="245">
        <v>0.61</v>
      </c>
      <c r="AQ256" s="244">
        <v>2140</v>
      </c>
      <c r="AR256" s="244">
        <v>292</v>
      </c>
      <c r="AS256" s="244">
        <v>5.89</v>
      </c>
      <c r="AT256" s="244">
        <v>664</v>
      </c>
      <c r="AU256" s="244">
        <v>104</v>
      </c>
      <c r="AV256" s="244">
        <v>3.28</v>
      </c>
      <c r="AW256" s="244">
        <v>64.7</v>
      </c>
      <c r="AX256" s="244">
        <v>27200</v>
      </c>
      <c r="AY256" s="246" t="s">
        <v>682</v>
      </c>
    </row>
    <row r="257" spans="34:51" ht="12.75">
      <c r="AH257" s="243" t="s">
        <v>557</v>
      </c>
      <c r="AI257" s="244">
        <v>55.8</v>
      </c>
      <c r="AJ257" s="244">
        <v>14.4</v>
      </c>
      <c r="AK257" s="244">
        <v>1.06</v>
      </c>
      <c r="AL257" s="244">
        <v>12.7</v>
      </c>
      <c r="AM257" s="244">
        <v>1.74</v>
      </c>
      <c r="AN257" s="244">
        <v>2.33</v>
      </c>
      <c r="AO257" s="245">
        <v>3.5</v>
      </c>
      <c r="AP257" s="245">
        <v>0.65</v>
      </c>
      <c r="AQ257" s="244">
        <v>1890</v>
      </c>
      <c r="AR257" s="244">
        <v>263</v>
      </c>
      <c r="AS257" s="244">
        <v>5.82</v>
      </c>
      <c r="AT257" s="244">
        <v>589</v>
      </c>
      <c r="AU257" s="244">
        <v>93</v>
      </c>
      <c r="AV257" s="244">
        <v>3.25</v>
      </c>
      <c r="AW257" s="244">
        <v>48.8</v>
      </c>
      <c r="AX257" s="244">
        <v>23500</v>
      </c>
      <c r="AY257" s="246" t="s">
        <v>829</v>
      </c>
    </row>
    <row r="258" spans="34:51" ht="12.75">
      <c r="AH258" s="243" t="s">
        <v>558</v>
      </c>
      <c r="AI258" s="244">
        <v>50</v>
      </c>
      <c r="AJ258" s="244">
        <v>14</v>
      </c>
      <c r="AK258" s="244">
        <v>0.96</v>
      </c>
      <c r="AL258" s="244">
        <v>12.6</v>
      </c>
      <c r="AM258" s="244">
        <v>1.56</v>
      </c>
      <c r="AN258" s="244">
        <v>2.16</v>
      </c>
      <c r="AO258" s="245">
        <v>3.47</v>
      </c>
      <c r="AP258" s="245">
        <v>0.72</v>
      </c>
      <c r="AQ258" s="244">
        <v>1650</v>
      </c>
      <c r="AR258" s="244">
        <v>235</v>
      </c>
      <c r="AS258" s="244">
        <v>5.74</v>
      </c>
      <c r="AT258" s="244">
        <v>517</v>
      </c>
      <c r="AU258" s="244">
        <v>82.3</v>
      </c>
      <c r="AV258" s="244">
        <v>3.22</v>
      </c>
      <c r="AW258" s="244">
        <v>35.6</v>
      </c>
      <c r="AX258" s="244">
        <v>20100</v>
      </c>
      <c r="AY258" s="246" t="s">
        <v>685</v>
      </c>
    </row>
    <row r="259" spans="34:51" ht="12.75">
      <c r="AH259" s="243" t="s">
        <v>559</v>
      </c>
      <c r="AI259" s="244">
        <v>44.7</v>
      </c>
      <c r="AJ259" s="244">
        <v>13.7</v>
      </c>
      <c r="AK259" s="244">
        <v>0.87</v>
      </c>
      <c r="AL259" s="244">
        <v>12.5</v>
      </c>
      <c r="AM259" s="244">
        <v>1.4</v>
      </c>
      <c r="AN259" s="244">
        <v>2</v>
      </c>
      <c r="AO259" s="245">
        <v>3.44</v>
      </c>
      <c r="AP259" s="245">
        <v>0.78</v>
      </c>
      <c r="AQ259" s="244">
        <v>1430</v>
      </c>
      <c r="AR259" s="244">
        <v>209</v>
      </c>
      <c r="AS259" s="244">
        <v>5.66</v>
      </c>
      <c r="AT259" s="244">
        <v>454</v>
      </c>
      <c r="AU259" s="244">
        <v>72.8</v>
      </c>
      <c r="AV259" s="244">
        <v>3.19</v>
      </c>
      <c r="AW259" s="244">
        <v>25.8</v>
      </c>
      <c r="AX259" s="244">
        <v>17200</v>
      </c>
      <c r="AY259" s="246" t="s">
        <v>702</v>
      </c>
    </row>
    <row r="260" spans="34:51" ht="12.75">
      <c r="AH260" s="243" t="s">
        <v>560</v>
      </c>
      <c r="AI260" s="244">
        <v>39.9</v>
      </c>
      <c r="AJ260" s="244">
        <v>13.4</v>
      </c>
      <c r="AK260" s="244">
        <v>0.79</v>
      </c>
      <c r="AL260" s="244">
        <v>12.4</v>
      </c>
      <c r="AM260" s="244">
        <v>1.25</v>
      </c>
      <c r="AN260" s="244">
        <v>1.85</v>
      </c>
      <c r="AO260" s="245">
        <v>3.41</v>
      </c>
      <c r="AP260" s="245">
        <v>0.87</v>
      </c>
      <c r="AQ260" s="244">
        <v>1240</v>
      </c>
      <c r="AR260" s="244">
        <v>186</v>
      </c>
      <c r="AS260" s="244">
        <v>5.58</v>
      </c>
      <c r="AT260" s="244">
        <v>398</v>
      </c>
      <c r="AU260" s="244">
        <v>64.2</v>
      </c>
      <c r="AV260" s="244">
        <v>3.16</v>
      </c>
      <c r="AW260" s="244">
        <v>18.5</v>
      </c>
      <c r="AX260" s="244">
        <v>14700</v>
      </c>
      <c r="AY260" s="246" t="s">
        <v>830</v>
      </c>
    </row>
    <row r="261" spans="34:51" ht="12.75">
      <c r="AH261" s="243" t="s">
        <v>561</v>
      </c>
      <c r="AI261" s="244">
        <v>35.3</v>
      </c>
      <c r="AJ261" s="244">
        <v>13.1</v>
      </c>
      <c r="AK261" s="244">
        <v>0.71</v>
      </c>
      <c r="AL261" s="244">
        <v>12.3</v>
      </c>
      <c r="AM261" s="244">
        <v>1.11</v>
      </c>
      <c r="AN261" s="244">
        <v>1.7</v>
      </c>
      <c r="AO261" s="245">
        <v>3.38</v>
      </c>
      <c r="AP261" s="245">
        <v>0.96</v>
      </c>
      <c r="AQ261" s="244">
        <v>1070</v>
      </c>
      <c r="AR261" s="244">
        <v>163</v>
      </c>
      <c r="AS261" s="244">
        <v>5.51</v>
      </c>
      <c r="AT261" s="244">
        <v>345</v>
      </c>
      <c r="AU261" s="244">
        <v>56</v>
      </c>
      <c r="AV261" s="244">
        <v>3.13</v>
      </c>
      <c r="AW261" s="244">
        <v>12.9</v>
      </c>
      <c r="AX261" s="244">
        <v>12500</v>
      </c>
      <c r="AY261" s="246" t="s">
        <v>817</v>
      </c>
    </row>
    <row r="262" spans="34:51" ht="12.75">
      <c r="AH262" s="243" t="s">
        <v>562</v>
      </c>
      <c r="AI262" s="244">
        <v>31.2</v>
      </c>
      <c r="AJ262" s="244">
        <v>12.9</v>
      </c>
      <c r="AK262" s="244">
        <v>0.61</v>
      </c>
      <c r="AL262" s="244">
        <v>12.2</v>
      </c>
      <c r="AM262" s="244">
        <v>0.99</v>
      </c>
      <c r="AN262" s="244">
        <v>1.59</v>
      </c>
      <c r="AO262" s="245">
        <v>3.36</v>
      </c>
      <c r="AP262" s="245">
        <v>1.07</v>
      </c>
      <c r="AQ262" s="244">
        <v>933</v>
      </c>
      <c r="AR262" s="244">
        <v>145</v>
      </c>
      <c r="AS262" s="244">
        <v>5.47</v>
      </c>
      <c r="AT262" s="244">
        <v>301</v>
      </c>
      <c r="AU262" s="244">
        <v>49.3</v>
      </c>
      <c r="AV262" s="244">
        <v>3.11</v>
      </c>
      <c r="AW262" s="244">
        <v>9.13</v>
      </c>
      <c r="AX262" s="244">
        <v>10700</v>
      </c>
      <c r="AY262" s="246" t="s">
        <v>785</v>
      </c>
    </row>
    <row r="263" spans="34:51" ht="12.75">
      <c r="AH263" s="243" t="s">
        <v>563</v>
      </c>
      <c r="AI263" s="244">
        <v>28.2</v>
      </c>
      <c r="AJ263" s="244">
        <v>12.7</v>
      </c>
      <c r="AK263" s="244">
        <v>0.55</v>
      </c>
      <c r="AL263" s="244">
        <v>12.2</v>
      </c>
      <c r="AM263" s="244">
        <v>0.9</v>
      </c>
      <c r="AN263" s="244">
        <v>1.5</v>
      </c>
      <c r="AO263" s="245">
        <v>3.34</v>
      </c>
      <c r="AP263" s="245">
        <v>1.16</v>
      </c>
      <c r="AQ263" s="244">
        <v>833</v>
      </c>
      <c r="AR263" s="244">
        <v>131</v>
      </c>
      <c r="AS263" s="244">
        <v>5.44</v>
      </c>
      <c r="AT263" s="244">
        <v>270</v>
      </c>
      <c r="AU263" s="244">
        <v>44.4</v>
      </c>
      <c r="AV263" s="244">
        <v>3.09</v>
      </c>
      <c r="AW263" s="244">
        <v>6.85</v>
      </c>
      <c r="AX263" s="244">
        <v>9410</v>
      </c>
      <c r="AY263" s="246" t="s">
        <v>831</v>
      </c>
    </row>
    <row r="264" spans="34:51" ht="12.75">
      <c r="AH264" s="243" t="s">
        <v>564</v>
      </c>
      <c r="AI264" s="244">
        <v>25.6</v>
      </c>
      <c r="AJ264" s="244">
        <v>12.5</v>
      </c>
      <c r="AK264" s="244">
        <v>0.515</v>
      </c>
      <c r="AL264" s="244">
        <v>12.1</v>
      </c>
      <c r="AM264" s="244">
        <v>0.81</v>
      </c>
      <c r="AN264" s="244">
        <v>1.41</v>
      </c>
      <c r="AO264" s="245">
        <v>3.32</v>
      </c>
      <c r="AP264" s="245">
        <v>1.28</v>
      </c>
      <c r="AQ264" s="244">
        <v>740</v>
      </c>
      <c r="AR264" s="244">
        <v>118</v>
      </c>
      <c r="AS264" s="244">
        <v>5.38</v>
      </c>
      <c r="AT264" s="244">
        <v>241</v>
      </c>
      <c r="AU264" s="244">
        <v>39.7</v>
      </c>
      <c r="AV264" s="244">
        <v>3.07</v>
      </c>
      <c r="AW264" s="244">
        <v>5.1</v>
      </c>
      <c r="AX264" s="244">
        <v>8280</v>
      </c>
      <c r="AY264" s="246" t="s">
        <v>832</v>
      </c>
    </row>
    <row r="265" spans="34:51" ht="12.75">
      <c r="AH265" s="243" t="s">
        <v>565</v>
      </c>
      <c r="AI265" s="244">
        <v>23.2</v>
      </c>
      <c r="AJ265" s="244">
        <v>12.4</v>
      </c>
      <c r="AK265" s="244">
        <v>0.47</v>
      </c>
      <c r="AL265" s="244">
        <v>12.1</v>
      </c>
      <c r="AM265" s="244">
        <v>0.735</v>
      </c>
      <c r="AN265" s="244">
        <v>1.33</v>
      </c>
      <c r="AO265" s="245">
        <v>3.31</v>
      </c>
      <c r="AP265" s="245">
        <v>1.39</v>
      </c>
      <c r="AQ265" s="244">
        <v>662</v>
      </c>
      <c r="AR265" s="244">
        <v>107</v>
      </c>
      <c r="AS265" s="244">
        <v>5.34</v>
      </c>
      <c r="AT265" s="244">
        <v>216</v>
      </c>
      <c r="AU265" s="244">
        <v>35.8</v>
      </c>
      <c r="AV265" s="244">
        <v>3.05</v>
      </c>
      <c r="AW265" s="244">
        <v>3.84</v>
      </c>
      <c r="AX265" s="244">
        <v>7320</v>
      </c>
      <c r="AY265" s="246" t="s">
        <v>833</v>
      </c>
    </row>
    <row r="266" spans="34:51" ht="12.75">
      <c r="AH266" s="243" t="s">
        <v>566</v>
      </c>
      <c r="AI266" s="244">
        <v>21.1</v>
      </c>
      <c r="AJ266" s="244">
        <v>12.3</v>
      </c>
      <c r="AK266" s="244">
        <v>0.43</v>
      </c>
      <c r="AL266" s="244">
        <v>12</v>
      </c>
      <c r="AM266" s="244">
        <v>0.67</v>
      </c>
      <c r="AN266" s="244">
        <v>1.27</v>
      </c>
      <c r="AO266" s="245">
        <v>3.29</v>
      </c>
      <c r="AP266" s="245">
        <v>1.52</v>
      </c>
      <c r="AQ266" s="244">
        <v>597</v>
      </c>
      <c r="AR266" s="244">
        <v>97.4</v>
      </c>
      <c r="AS266" s="244">
        <v>5.31</v>
      </c>
      <c r="AT266" s="244">
        <v>195</v>
      </c>
      <c r="AU266" s="244">
        <v>32.4</v>
      </c>
      <c r="AV266" s="244">
        <v>3.04</v>
      </c>
      <c r="AW266" s="244">
        <v>2.93</v>
      </c>
      <c r="AX266" s="244">
        <v>6540</v>
      </c>
      <c r="AY266" s="246" t="s">
        <v>834</v>
      </c>
    </row>
    <row r="267" spans="34:51" ht="12.75">
      <c r="AH267" s="243" t="s">
        <v>567</v>
      </c>
      <c r="AI267" s="244">
        <v>19.1</v>
      </c>
      <c r="AJ267" s="244">
        <v>12.1</v>
      </c>
      <c r="AK267" s="244">
        <v>0.39</v>
      </c>
      <c r="AL267" s="244">
        <v>12</v>
      </c>
      <c r="AM267" s="244">
        <v>0.605</v>
      </c>
      <c r="AN267" s="244">
        <v>1.2</v>
      </c>
      <c r="AO267" s="245">
        <v>3.28</v>
      </c>
      <c r="AP267" s="245">
        <v>1.67</v>
      </c>
      <c r="AQ267" s="244">
        <v>533</v>
      </c>
      <c r="AR267" s="244">
        <v>87.9</v>
      </c>
      <c r="AS267" s="244">
        <v>5.28</v>
      </c>
      <c r="AT267" s="244">
        <v>174</v>
      </c>
      <c r="AU267" s="244">
        <v>29.1</v>
      </c>
      <c r="AV267" s="244">
        <v>3.02</v>
      </c>
      <c r="AW267" s="244">
        <v>2.18</v>
      </c>
      <c r="AX267" s="244">
        <v>5770</v>
      </c>
      <c r="AY267" s="246" t="s">
        <v>789</v>
      </c>
    </row>
    <row r="268" spans="34:51" ht="12.75">
      <c r="AH268" s="243" t="s">
        <v>568</v>
      </c>
      <c r="AI268" s="244">
        <v>17</v>
      </c>
      <c r="AJ268" s="244">
        <v>12.2</v>
      </c>
      <c r="AK268" s="244">
        <v>0.36</v>
      </c>
      <c r="AL268" s="244">
        <v>10</v>
      </c>
      <c r="AM268" s="244">
        <v>0.64</v>
      </c>
      <c r="AN268" s="244">
        <v>1.24</v>
      </c>
      <c r="AO268" s="245">
        <v>2.72</v>
      </c>
      <c r="AP268" s="245">
        <v>1.9</v>
      </c>
      <c r="AQ268" s="244">
        <v>475</v>
      </c>
      <c r="AR268" s="244">
        <v>78</v>
      </c>
      <c r="AS268" s="244">
        <v>5.28</v>
      </c>
      <c r="AT268" s="244">
        <v>107</v>
      </c>
      <c r="AU268" s="244">
        <v>21.4</v>
      </c>
      <c r="AV268" s="244">
        <v>2.51</v>
      </c>
      <c r="AW268" s="244">
        <v>2.1</v>
      </c>
      <c r="AX268" s="244">
        <v>3570</v>
      </c>
      <c r="AY268" s="246" t="s">
        <v>835</v>
      </c>
    </row>
    <row r="269" spans="34:51" ht="12.75">
      <c r="AH269" s="243" t="s">
        <v>569</v>
      </c>
      <c r="AI269" s="244">
        <v>15.6</v>
      </c>
      <c r="AJ269" s="244">
        <v>12.1</v>
      </c>
      <c r="AK269" s="244">
        <v>0.345</v>
      </c>
      <c r="AL269" s="244">
        <v>9.99</v>
      </c>
      <c r="AM269" s="244">
        <v>0.575</v>
      </c>
      <c r="AN269" s="244">
        <v>1.17</v>
      </c>
      <c r="AO269" s="245">
        <v>2.71</v>
      </c>
      <c r="AP269" s="245">
        <v>2.1</v>
      </c>
      <c r="AQ269" s="244">
        <v>425</v>
      </c>
      <c r="AR269" s="244">
        <v>70.6</v>
      </c>
      <c r="AS269" s="244">
        <v>5.23</v>
      </c>
      <c r="AT269" s="244">
        <v>95.8</v>
      </c>
      <c r="AU269" s="244">
        <v>19.2</v>
      </c>
      <c r="AV269" s="244">
        <v>2.48</v>
      </c>
      <c r="AW269" s="244">
        <v>1.58</v>
      </c>
      <c r="AX269" s="244">
        <v>3160</v>
      </c>
      <c r="AY269" s="246" t="s">
        <v>822</v>
      </c>
    </row>
    <row r="270" spans="34:51" ht="12.75">
      <c r="AH270" s="243" t="s">
        <v>570</v>
      </c>
      <c r="AI270" s="244">
        <v>14.6</v>
      </c>
      <c r="AJ270" s="244">
        <v>12.2</v>
      </c>
      <c r="AK270" s="244">
        <v>0.37</v>
      </c>
      <c r="AL270" s="244">
        <v>8.08</v>
      </c>
      <c r="AM270" s="244">
        <v>0.64</v>
      </c>
      <c r="AN270" s="244">
        <v>1.14</v>
      </c>
      <c r="AO270" s="245">
        <v>2.17</v>
      </c>
      <c r="AP270" s="245">
        <v>2.36</v>
      </c>
      <c r="AQ270" s="244">
        <v>391</v>
      </c>
      <c r="AR270" s="244">
        <v>64.2</v>
      </c>
      <c r="AS270" s="244">
        <v>5.18</v>
      </c>
      <c r="AT270" s="244">
        <v>56.3</v>
      </c>
      <c r="AU270" s="244">
        <v>13.9</v>
      </c>
      <c r="AV270" s="244">
        <v>1.96</v>
      </c>
      <c r="AW270" s="244">
        <v>1.71</v>
      </c>
      <c r="AX270" s="244">
        <v>1880</v>
      </c>
      <c r="AY270" s="246" t="s">
        <v>775</v>
      </c>
    </row>
    <row r="271" spans="34:51" ht="12.75">
      <c r="AH271" s="243" t="s">
        <v>571</v>
      </c>
      <c r="AI271" s="244">
        <v>13.1</v>
      </c>
      <c r="AJ271" s="244">
        <v>12.1</v>
      </c>
      <c r="AK271" s="244">
        <v>0.335</v>
      </c>
      <c r="AL271" s="244">
        <v>8.05</v>
      </c>
      <c r="AM271" s="244">
        <v>0.575</v>
      </c>
      <c r="AN271" s="244">
        <v>1.08</v>
      </c>
      <c r="AO271" s="245">
        <v>2.15</v>
      </c>
      <c r="AP271" s="245">
        <v>2.61</v>
      </c>
      <c r="AQ271" s="244">
        <v>348</v>
      </c>
      <c r="AR271" s="244">
        <v>57.7</v>
      </c>
      <c r="AS271" s="244">
        <v>5.15</v>
      </c>
      <c r="AT271" s="244">
        <v>50</v>
      </c>
      <c r="AU271" s="244">
        <v>12.4</v>
      </c>
      <c r="AV271" s="244">
        <v>1.95</v>
      </c>
      <c r="AW271" s="244">
        <v>1.26</v>
      </c>
      <c r="AX271" s="244">
        <v>1650</v>
      </c>
      <c r="AY271" s="246" t="s">
        <v>798</v>
      </c>
    </row>
    <row r="272" spans="34:51" ht="12.75">
      <c r="AH272" s="243" t="s">
        <v>572</v>
      </c>
      <c r="AI272" s="244">
        <v>11.7</v>
      </c>
      <c r="AJ272" s="244">
        <v>11.9</v>
      </c>
      <c r="AK272" s="244">
        <v>0.295</v>
      </c>
      <c r="AL272" s="244">
        <v>8.01</v>
      </c>
      <c r="AM272" s="244">
        <v>0.515</v>
      </c>
      <c r="AN272" s="244">
        <v>1.02</v>
      </c>
      <c r="AO272" s="245">
        <v>2.14</v>
      </c>
      <c r="AP272" s="245">
        <v>2.9</v>
      </c>
      <c r="AQ272" s="244">
        <v>307</v>
      </c>
      <c r="AR272" s="244">
        <v>51.5</v>
      </c>
      <c r="AS272" s="244">
        <v>5.13</v>
      </c>
      <c r="AT272" s="244">
        <v>44.1</v>
      </c>
      <c r="AU272" s="244">
        <v>11</v>
      </c>
      <c r="AV272" s="244">
        <v>1.94</v>
      </c>
      <c r="AW272" s="244">
        <v>0.906</v>
      </c>
      <c r="AX272" s="244">
        <v>1440</v>
      </c>
      <c r="AY272" s="246" t="s">
        <v>792</v>
      </c>
    </row>
    <row r="273" spans="34:51" ht="12.75">
      <c r="AH273" s="243" t="s">
        <v>573</v>
      </c>
      <c r="AI273" s="244">
        <v>10.3</v>
      </c>
      <c r="AJ273" s="244">
        <v>12.5</v>
      </c>
      <c r="AK273" s="244">
        <v>0.3</v>
      </c>
      <c r="AL273" s="244">
        <v>6.56</v>
      </c>
      <c r="AM273" s="244">
        <v>0.52</v>
      </c>
      <c r="AN273" s="244">
        <v>0.82</v>
      </c>
      <c r="AO273" s="245">
        <v>1.74</v>
      </c>
      <c r="AP273" s="245">
        <v>3.66</v>
      </c>
      <c r="AQ273" s="244">
        <v>285</v>
      </c>
      <c r="AR273" s="244">
        <v>45.6</v>
      </c>
      <c r="AS273" s="244">
        <v>5.25</v>
      </c>
      <c r="AT273" s="244">
        <v>24.5</v>
      </c>
      <c r="AU273" s="244">
        <v>7.47</v>
      </c>
      <c r="AV273" s="244">
        <v>1.54</v>
      </c>
      <c r="AW273" s="244">
        <v>0.741</v>
      </c>
      <c r="AX273" s="244">
        <v>879</v>
      </c>
      <c r="AY273" s="246" t="s">
        <v>793</v>
      </c>
    </row>
    <row r="274" spans="34:51" ht="12.75">
      <c r="AH274" s="243" t="s">
        <v>574</v>
      </c>
      <c r="AI274" s="244">
        <v>8.79</v>
      </c>
      <c r="AJ274" s="244">
        <v>12.3</v>
      </c>
      <c r="AK274" s="244">
        <v>0.26</v>
      </c>
      <c r="AL274" s="244">
        <v>6.52</v>
      </c>
      <c r="AM274" s="244">
        <v>0.44</v>
      </c>
      <c r="AN274" s="244">
        <v>0.74</v>
      </c>
      <c r="AO274" s="245">
        <v>1.73</v>
      </c>
      <c r="AP274" s="245">
        <v>4.3</v>
      </c>
      <c r="AQ274" s="244">
        <v>238</v>
      </c>
      <c r="AR274" s="244">
        <v>38.6</v>
      </c>
      <c r="AS274" s="244">
        <v>5.21</v>
      </c>
      <c r="AT274" s="244">
        <v>20.3</v>
      </c>
      <c r="AU274" s="244">
        <v>6.24</v>
      </c>
      <c r="AV274" s="244">
        <v>1.52</v>
      </c>
      <c r="AW274" s="244">
        <v>0.457</v>
      </c>
      <c r="AX274" s="244">
        <v>719</v>
      </c>
      <c r="AY274" s="246" t="s">
        <v>825</v>
      </c>
    </row>
    <row r="275" spans="34:51" ht="12.75">
      <c r="AH275" s="243" t="s">
        <v>575</v>
      </c>
      <c r="AI275" s="244">
        <v>7.65</v>
      </c>
      <c r="AJ275" s="244">
        <v>12.2</v>
      </c>
      <c r="AK275" s="244">
        <v>0.23</v>
      </c>
      <c r="AL275" s="244">
        <v>6.49</v>
      </c>
      <c r="AM275" s="244">
        <v>0.38</v>
      </c>
      <c r="AN275" s="244">
        <v>0.68</v>
      </c>
      <c r="AO275" s="245">
        <v>1.72</v>
      </c>
      <c r="AP275" s="245">
        <v>4.95</v>
      </c>
      <c r="AQ275" s="244">
        <v>204</v>
      </c>
      <c r="AR275" s="244">
        <v>33.4</v>
      </c>
      <c r="AS275" s="244">
        <v>5.17</v>
      </c>
      <c r="AT275" s="244">
        <v>17.3</v>
      </c>
      <c r="AU275" s="244">
        <v>5.34</v>
      </c>
      <c r="AV275" s="244">
        <v>1.51</v>
      </c>
      <c r="AW275" s="244">
        <v>0.3</v>
      </c>
      <c r="AX275" s="244">
        <v>606</v>
      </c>
      <c r="AY275" s="246" t="s">
        <v>801</v>
      </c>
    </row>
    <row r="276" spans="34:51" ht="12.75">
      <c r="AH276" s="243" t="s">
        <v>576</v>
      </c>
      <c r="AI276" s="244">
        <v>6.48</v>
      </c>
      <c r="AJ276" s="244">
        <v>12.3</v>
      </c>
      <c r="AK276" s="244">
        <v>0.26</v>
      </c>
      <c r="AL276" s="244">
        <v>4.03</v>
      </c>
      <c r="AM276" s="244">
        <v>0.425</v>
      </c>
      <c r="AN276" s="244">
        <v>0.725</v>
      </c>
      <c r="AO276" s="245">
        <v>1.02</v>
      </c>
      <c r="AP276" s="245">
        <v>7.19</v>
      </c>
      <c r="AQ276" s="244">
        <v>156</v>
      </c>
      <c r="AR276" s="244">
        <v>25.4</v>
      </c>
      <c r="AS276" s="244">
        <v>4.91</v>
      </c>
      <c r="AT276" s="244">
        <v>4.66</v>
      </c>
      <c r="AU276" s="244">
        <v>2.31</v>
      </c>
      <c r="AV276" s="244">
        <v>0.848</v>
      </c>
      <c r="AW276" s="244">
        <v>0.293</v>
      </c>
      <c r="AX276" s="244">
        <v>165</v>
      </c>
      <c r="AY276" s="246" t="s">
        <v>826</v>
      </c>
    </row>
    <row r="277" spans="34:51" ht="12.75">
      <c r="AH277" s="243" t="s">
        <v>577</v>
      </c>
      <c r="AI277" s="244">
        <v>5.57</v>
      </c>
      <c r="AJ277" s="244">
        <v>12.2</v>
      </c>
      <c r="AK277" s="244">
        <v>0.235</v>
      </c>
      <c r="AL277" s="244">
        <v>4.01</v>
      </c>
      <c r="AM277" s="244">
        <v>0.35</v>
      </c>
      <c r="AN277" s="244">
        <v>0.65</v>
      </c>
      <c r="AO277" s="245">
        <v>1</v>
      </c>
      <c r="AP277" s="245">
        <v>8.67</v>
      </c>
      <c r="AQ277" s="244">
        <v>130</v>
      </c>
      <c r="AR277" s="244">
        <v>21.3</v>
      </c>
      <c r="AS277" s="244">
        <v>4.82</v>
      </c>
      <c r="AT277" s="244">
        <v>3.76</v>
      </c>
      <c r="AU277" s="244">
        <v>1.88</v>
      </c>
      <c r="AV277" s="244">
        <v>0.822</v>
      </c>
      <c r="AW277" s="244">
        <v>0.18</v>
      </c>
      <c r="AX277" s="244">
        <v>131</v>
      </c>
      <c r="AY277" s="246" t="s">
        <v>836</v>
      </c>
    </row>
    <row r="278" spans="34:51" ht="12.75">
      <c r="AH278" s="243" t="s">
        <v>578</v>
      </c>
      <c r="AI278" s="244">
        <v>4.71</v>
      </c>
      <c r="AJ278" s="244">
        <v>12</v>
      </c>
      <c r="AK278" s="244">
        <v>0.22</v>
      </c>
      <c r="AL278" s="244">
        <v>3.99</v>
      </c>
      <c r="AM278" s="244">
        <v>0.265</v>
      </c>
      <c r="AN278" s="244">
        <v>0.565</v>
      </c>
      <c r="AO278" s="245">
        <v>0.96</v>
      </c>
      <c r="AP278" s="245">
        <v>11.3</v>
      </c>
      <c r="AQ278" s="244">
        <v>103</v>
      </c>
      <c r="AR278" s="244">
        <v>17.1</v>
      </c>
      <c r="AS278" s="244">
        <v>4.67</v>
      </c>
      <c r="AT278" s="244">
        <v>2.82</v>
      </c>
      <c r="AU278" s="244">
        <v>1.41</v>
      </c>
      <c r="AV278" s="244">
        <v>0.773</v>
      </c>
      <c r="AW278" s="244">
        <v>0.103</v>
      </c>
      <c r="AX278" s="244">
        <v>96.9</v>
      </c>
      <c r="AY278" s="246" t="s">
        <v>837</v>
      </c>
    </row>
    <row r="279" spans="34:51" ht="12.75">
      <c r="AH279" s="243" t="s">
        <v>579</v>
      </c>
      <c r="AI279" s="244">
        <v>4.16</v>
      </c>
      <c r="AJ279" s="244">
        <v>11.9</v>
      </c>
      <c r="AK279" s="244">
        <v>0.2</v>
      </c>
      <c r="AL279" s="244">
        <v>3.97</v>
      </c>
      <c r="AM279" s="244">
        <v>0.225</v>
      </c>
      <c r="AN279" s="244">
        <v>0.525</v>
      </c>
      <c r="AO279" s="245">
        <v>0.95</v>
      </c>
      <c r="AP279" s="245">
        <v>13.3</v>
      </c>
      <c r="AQ279" s="244">
        <v>88.6</v>
      </c>
      <c r="AR279" s="244">
        <v>14.9</v>
      </c>
      <c r="AS279" s="244">
        <v>4.62</v>
      </c>
      <c r="AT279" s="244">
        <v>2.36</v>
      </c>
      <c r="AU279" s="244">
        <v>1.19</v>
      </c>
      <c r="AV279" s="244">
        <v>0.753</v>
      </c>
      <c r="AW279" s="244">
        <v>0.0704</v>
      </c>
      <c r="AX279" s="244">
        <v>80.6</v>
      </c>
      <c r="AY279" s="246" t="s">
        <v>838</v>
      </c>
    </row>
    <row r="280" spans="34:51" ht="12.75">
      <c r="AH280" s="243" t="s">
        <v>580</v>
      </c>
      <c r="AI280" s="244">
        <v>32.9</v>
      </c>
      <c r="AJ280" s="244">
        <v>11.4</v>
      </c>
      <c r="AK280" s="244">
        <v>0.755</v>
      </c>
      <c r="AL280" s="244">
        <v>10.4</v>
      </c>
      <c r="AM280" s="244">
        <v>1.25</v>
      </c>
      <c r="AN280" s="244">
        <v>1.75</v>
      </c>
      <c r="AO280" s="245">
        <v>2.88</v>
      </c>
      <c r="AP280" s="245">
        <v>0.87</v>
      </c>
      <c r="AQ280" s="244">
        <v>716</v>
      </c>
      <c r="AR280" s="244">
        <v>126</v>
      </c>
      <c r="AS280" s="244">
        <v>4.66</v>
      </c>
      <c r="AT280" s="244">
        <v>236</v>
      </c>
      <c r="AU280" s="244">
        <v>45.3</v>
      </c>
      <c r="AV280" s="244">
        <v>2.68</v>
      </c>
      <c r="AW280" s="244">
        <v>15.1</v>
      </c>
      <c r="AX280" s="244">
        <v>6030</v>
      </c>
      <c r="AY280" s="246" t="s">
        <v>839</v>
      </c>
    </row>
    <row r="281" spans="34:51" ht="12.75">
      <c r="AH281" s="243" t="s">
        <v>581</v>
      </c>
      <c r="AI281" s="244">
        <v>29.4</v>
      </c>
      <c r="AJ281" s="244">
        <v>11.1</v>
      </c>
      <c r="AK281" s="244">
        <v>0.68</v>
      </c>
      <c r="AL281" s="244">
        <v>10.3</v>
      </c>
      <c r="AM281" s="244">
        <v>1.12</v>
      </c>
      <c r="AN281" s="244">
        <v>1.62</v>
      </c>
      <c r="AO281" s="245">
        <v>2.85</v>
      </c>
      <c r="AP281" s="245">
        <v>0.96</v>
      </c>
      <c r="AQ281" s="244">
        <v>623</v>
      </c>
      <c r="AR281" s="244">
        <v>112</v>
      </c>
      <c r="AS281" s="244">
        <v>4.6</v>
      </c>
      <c r="AT281" s="244">
        <v>207</v>
      </c>
      <c r="AU281" s="244">
        <v>40</v>
      </c>
      <c r="AV281" s="244">
        <v>2.65</v>
      </c>
      <c r="AW281" s="244">
        <v>10.9</v>
      </c>
      <c r="AX281" s="244">
        <v>5150</v>
      </c>
      <c r="AY281" s="246" t="s">
        <v>794</v>
      </c>
    </row>
    <row r="282" spans="34:51" ht="12.75">
      <c r="AH282" s="243" t="s">
        <v>582</v>
      </c>
      <c r="AI282" s="244">
        <v>25.9</v>
      </c>
      <c r="AJ282" s="244">
        <v>10.8</v>
      </c>
      <c r="AK282" s="244">
        <v>0.605</v>
      </c>
      <c r="AL282" s="244">
        <v>10.3</v>
      </c>
      <c r="AM282" s="244">
        <v>0.99</v>
      </c>
      <c r="AN282" s="244">
        <v>1.49</v>
      </c>
      <c r="AO282" s="245">
        <v>2.83</v>
      </c>
      <c r="AP282" s="245">
        <v>1.07</v>
      </c>
      <c r="AQ282" s="244">
        <v>534</v>
      </c>
      <c r="AR282" s="244">
        <v>98.5</v>
      </c>
      <c r="AS282" s="244">
        <v>4.54</v>
      </c>
      <c r="AT282" s="244">
        <v>179</v>
      </c>
      <c r="AU282" s="244">
        <v>34.8</v>
      </c>
      <c r="AV282" s="244">
        <v>2.63</v>
      </c>
      <c r="AW282" s="244">
        <v>7.53</v>
      </c>
      <c r="AX282" s="244">
        <v>4340</v>
      </c>
      <c r="AY282" s="246" t="s">
        <v>840</v>
      </c>
    </row>
    <row r="283" spans="34:51" ht="12.75">
      <c r="AH283" s="243" t="s">
        <v>583</v>
      </c>
      <c r="AI283" s="244">
        <v>22.6</v>
      </c>
      <c r="AJ283" s="244">
        <v>10.6</v>
      </c>
      <c r="AK283" s="244">
        <v>0.53</v>
      </c>
      <c r="AL283" s="244">
        <v>10.2</v>
      </c>
      <c r="AM283" s="244">
        <v>0.87</v>
      </c>
      <c r="AN283" s="244">
        <v>1.37</v>
      </c>
      <c r="AO283" s="245">
        <v>2.8</v>
      </c>
      <c r="AP283" s="245">
        <v>1.2</v>
      </c>
      <c r="AQ283" s="244">
        <v>455</v>
      </c>
      <c r="AR283" s="244">
        <v>85.9</v>
      </c>
      <c r="AS283" s="244">
        <v>4.49</v>
      </c>
      <c r="AT283" s="244">
        <v>154</v>
      </c>
      <c r="AU283" s="244">
        <v>30.1</v>
      </c>
      <c r="AV283" s="244">
        <v>2.6</v>
      </c>
      <c r="AW283" s="244">
        <v>5.11</v>
      </c>
      <c r="AX283" s="244">
        <v>3640</v>
      </c>
      <c r="AY283" s="246" t="s">
        <v>796</v>
      </c>
    </row>
    <row r="284" spans="34:51" ht="12.75">
      <c r="AH284" s="243" t="s">
        <v>584</v>
      </c>
      <c r="AI284" s="244">
        <v>20</v>
      </c>
      <c r="AJ284" s="244">
        <v>10.4</v>
      </c>
      <c r="AK284" s="244">
        <v>0.47</v>
      </c>
      <c r="AL284" s="244">
        <v>10.1</v>
      </c>
      <c r="AM284" s="244">
        <v>0.77</v>
      </c>
      <c r="AN284" s="244">
        <v>1.27</v>
      </c>
      <c r="AO284" s="245">
        <v>2.79</v>
      </c>
      <c r="AP284" s="245">
        <v>1.33</v>
      </c>
      <c r="AQ284" s="244">
        <v>394</v>
      </c>
      <c r="AR284" s="244">
        <v>75.7</v>
      </c>
      <c r="AS284" s="244">
        <v>4.44</v>
      </c>
      <c r="AT284" s="244">
        <v>134</v>
      </c>
      <c r="AU284" s="244">
        <v>26.4</v>
      </c>
      <c r="AV284" s="244">
        <v>2.59</v>
      </c>
      <c r="AW284" s="244">
        <v>3.56</v>
      </c>
      <c r="AX284" s="244">
        <v>3110</v>
      </c>
      <c r="AY284" s="246" t="s">
        <v>758</v>
      </c>
    </row>
    <row r="285" spans="34:51" ht="12.75">
      <c r="AH285" s="243" t="s">
        <v>585</v>
      </c>
      <c r="AI285" s="244">
        <v>17.6</v>
      </c>
      <c r="AJ285" s="244">
        <v>10.2</v>
      </c>
      <c r="AK285" s="244">
        <v>0.42</v>
      </c>
      <c r="AL285" s="244">
        <v>10.1</v>
      </c>
      <c r="AM285" s="244">
        <v>0.68</v>
      </c>
      <c r="AN285" s="244">
        <v>1.18</v>
      </c>
      <c r="AO285" s="245">
        <v>2.77</v>
      </c>
      <c r="AP285" s="245">
        <v>1.49</v>
      </c>
      <c r="AQ285" s="244">
        <v>341</v>
      </c>
      <c r="AR285" s="244">
        <v>66.7</v>
      </c>
      <c r="AS285" s="244">
        <v>4.39</v>
      </c>
      <c r="AT285" s="244">
        <v>116</v>
      </c>
      <c r="AU285" s="244">
        <v>23</v>
      </c>
      <c r="AV285" s="244">
        <v>2.57</v>
      </c>
      <c r="AW285" s="244">
        <v>2.48</v>
      </c>
      <c r="AX285" s="244">
        <v>2640</v>
      </c>
      <c r="AY285" s="246" t="s">
        <v>790</v>
      </c>
    </row>
    <row r="286" spans="34:51" ht="12.75">
      <c r="AH286" s="243" t="s">
        <v>586</v>
      </c>
      <c r="AI286" s="244">
        <v>15.8</v>
      </c>
      <c r="AJ286" s="244">
        <v>10.1</v>
      </c>
      <c r="AK286" s="244">
        <v>0.37</v>
      </c>
      <c r="AL286" s="244">
        <v>10</v>
      </c>
      <c r="AM286" s="244">
        <v>0.615</v>
      </c>
      <c r="AN286" s="244">
        <v>1.12</v>
      </c>
      <c r="AO286" s="245">
        <v>2.75</v>
      </c>
      <c r="AP286" s="245">
        <v>1.64</v>
      </c>
      <c r="AQ286" s="244">
        <v>303</v>
      </c>
      <c r="AR286" s="244">
        <v>60</v>
      </c>
      <c r="AS286" s="244">
        <v>4.37</v>
      </c>
      <c r="AT286" s="244">
        <v>103</v>
      </c>
      <c r="AU286" s="244">
        <v>20.6</v>
      </c>
      <c r="AV286" s="244">
        <v>2.56</v>
      </c>
      <c r="AW286" s="244">
        <v>1.82</v>
      </c>
      <c r="AX286" s="244">
        <v>2310</v>
      </c>
      <c r="AY286" s="246" t="s">
        <v>841</v>
      </c>
    </row>
    <row r="287" spans="34:51" ht="12.75">
      <c r="AH287" s="243" t="s">
        <v>587</v>
      </c>
      <c r="AI287" s="244">
        <v>14.4</v>
      </c>
      <c r="AJ287" s="244">
        <v>9.98</v>
      </c>
      <c r="AK287" s="244">
        <v>0.34</v>
      </c>
      <c r="AL287" s="244">
        <v>10</v>
      </c>
      <c r="AM287" s="244">
        <v>0.56</v>
      </c>
      <c r="AN287" s="244">
        <v>1.06</v>
      </c>
      <c r="AO287" s="245">
        <v>2.74</v>
      </c>
      <c r="AP287" s="245">
        <v>1.78</v>
      </c>
      <c r="AQ287" s="244">
        <v>272</v>
      </c>
      <c r="AR287" s="244">
        <v>54.6</v>
      </c>
      <c r="AS287" s="244">
        <v>4.35</v>
      </c>
      <c r="AT287" s="244">
        <v>93.4</v>
      </c>
      <c r="AU287" s="244">
        <v>18.7</v>
      </c>
      <c r="AV287" s="244">
        <v>2.54</v>
      </c>
      <c r="AW287" s="244">
        <v>1.39</v>
      </c>
      <c r="AX287" s="244">
        <v>2070</v>
      </c>
      <c r="AY287" s="246" t="s">
        <v>842</v>
      </c>
    </row>
    <row r="288" spans="34:51" ht="12.75">
      <c r="AH288" s="243" t="s">
        <v>588</v>
      </c>
      <c r="AI288" s="244">
        <v>13.3</v>
      </c>
      <c r="AJ288" s="244">
        <v>10.1</v>
      </c>
      <c r="AK288" s="244">
        <v>0.35</v>
      </c>
      <c r="AL288" s="244">
        <v>8.02</v>
      </c>
      <c r="AM288" s="244">
        <v>0.62</v>
      </c>
      <c r="AN288" s="244">
        <v>1.12</v>
      </c>
      <c r="AO288" s="245">
        <v>2.18</v>
      </c>
      <c r="AP288" s="245">
        <v>2.03</v>
      </c>
      <c r="AQ288" s="244">
        <v>248</v>
      </c>
      <c r="AR288" s="244">
        <v>49.1</v>
      </c>
      <c r="AS288" s="244">
        <v>4.32</v>
      </c>
      <c r="AT288" s="244">
        <v>53.4</v>
      </c>
      <c r="AU288" s="244">
        <v>13.3</v>
      </c>
      <c r="AV288" s="244">
        <v>2.01</v>
      </c>
      <c r="AW288" s="244">
        <v>1.51</v>
      </c>
      <c r="AX288" s="244">
        <v>1200</v>
      </c>
      <c r="AY288" s="246" t="s">
        <v>798</v>
      </c>
    </row>
    <row r="289" spans="34:51" ht="12.75">
      <c r="AH289" s="243" t="s">
        <v>589</v>
      </c>
      <c r="AI289" s="244">
        <v>11.5</v>
      </c>
      <c r="AJ289" s="244">
        <v>9.92</v>
      </c>
      <c r="AK289" s="244">
        <v>0.315</v>
      </c>
      <c r="AL289" s="244">
        <v>7.99</v>
      </c>
      <c r="AM289" s="244">
        <v>0.53</v>
      </c>
      <c r="AN289" s="244">
        <v>1.03</v>
      </c>
      <c r="AO289" s="245">
        <v>2.16</v>
      </c>
      <c r="AP289" s="245">
        <v>2.34</v>
      </c>
      <c r="AQ289" s="244">
        <v>209</v>
      </c>
      <c r="AR289" s="244">
        <v>42.1</v>
      </c>
      <c r="AS289" s="244">
        <v>4.27</v>
      </c>
      <c r="AT289" s="244">
        <v>45</v>
      </c>
      <c r="AU289" s="244">
        <v>11.3</v>
      </c>
      <c r="AV289" s="244">
        <v>1.98</v>
      </c>
      <c r="AW289" s="244">
        <v>0.976</v>
      </c>
      <c r="AX289" s="244">
        <v>992</v>
      </c>
      <c r="AY289" s="246" t="s">
        <v>843</v>
      </c>
    </row>
    <row r="290" spans="34:51" ht="12.75">
      <c r="AH290" s="243" t="s">
        <v>590</v>
      </c>
      <c r="AI290" s="244">
        <v>9.71</v>
      </c>
      <c r="AJ290" s="244">
        <v>9.73</v>
      </c>
      <c r="AK290" s="244">
        <v>0.29</v>
      </c>
      <c r="AL290" s="244">
        <v>7.96</v>
      </c>
      <c r="AM290" s="244">
        <v>0.435</v>
      </c>
      <c r="AN290" s="244">
        <v>0.935</v>
      </c>
      <c r="AO290" s="245">
        <v>2.14</v>
      </c>
      <c r="AP290" s="245">
        <v>2.81</v>
      </c>
      <c r="AQ290" s="244">
        <v>171</v>
      </c>
      <c r="AR290" s="244">
        <v>35</v>
      </c>
      <c r="AS290" s="244">
        <v>4.19</v>
      </c>
      <c r="AT290" s="244">
        <v>36.6</v>
      </c>
      <c r="AU290" s="244">
        <v>9.2</v>
      </c>
      <c r="AV290" s="244">
        <v>1.94</v>
      </c>
      <c r="AW290" s="244">
        <v>0.583</v>
      </c>
      <c r="AX290" s="244">
        <v>791</v>
      </c>
      <c r="AY290" s="246" t="s">
        <v>844</v>
      </c>
    </row>
    <row r="291" spans="34:51" ht="12.75">
      <c r="AH291" s="243" t="s">
        <v>591</v>
      </c>
      <c r="AI291" s="244">
        <v>8.84</v>
      </c>
      <c r="AJ291" s="244">
        <v>10.5</v>
      </c>
      <c r="AK291" s="244">
        <v>0.3</v>
      </c>
      <c r="AL291" s="244">
        <v>5.81</v>
      </c>
      <c r="AM291" s="244">
        <v>0.51</v>
      </c>
      <c r="AN291" s="244">
        <v>0.81</v>
      </c>
      <c r="AO291" s="245">
        <v>1.55</v>
      </c>
      <c r="AP291" s="245">
        <v>3.53</v>
      </c>
      <c r="AQ291" s="244">
        <v>170</v>
      </c>
      <c r="AR291" s="244">
        <v>32.4</v>
      </c>
      <c r="AS291" s="244">
        <v>4.38</v>
      </c>
      <c r="AT291" s="244">
        <v>16.7</v>
      </c>
      <c r="AU291" s="244">
        <v>5.75</v>
      </c>
      <c r="AV291" s="244">
        <v>1.37</v>
      </c>
      <c r="AW291" s="244">
        <v>0.622</v>
      </c>
      <c r="AX291" s="244">
        <v>414</v>
      </c>
      <c r="AY291" s="246" t="s">
        <v>825</v>
      </c>
    </row>
    <row r="292" spans="34:51" ht="12.75">
      <c r="AH292" s="243" t="s">
        <v>592</v>
      </c>
      <c r="AI292" s="244">
        <v>7.61</v>
      </c>
      <c r="AJ292" s="244">
        <v>10.3</v>
      </c>
      <c r="AK292" s="244">
        <v>0.26</v>
      </c>
      <c r="AL292" s="244">
        <v>5.77</v>
      </c>
      <c r="AM292" s="244">
        <v>0.44</v>
      </c>
      <c r="AN292" s="244">
        <v>0.74</v>
      </c>
      <c r="AO292" s="245">
        <v>1.54</v>
      </c>
      <c r="AP292" s="245">
        <v>4.07</v>
      </c>
      <c r="AQ292" s="244">
        <v>144</v>
      </c>
      <c r="AR292" s="244">
        <v>27.9</v>
      </c>
      <c r="AS292" s="244">
        <v>4.35</v>
      </c>
      <c r="AT292" s="244">
        <v>14.1</v>
      </c>
      <c r="AU292" s="244">
        <v>4.89</v>
      </c>
      <c r="AV292" s="244">
        <v>1.36</v>
      </c>
      <c r="AW292" s="244">
        <v>0.402</v>
      </c>
      <c r="AX292" s="244">
        <v>345</v>
      </c>
      <c r="AY292" s="246" t="s">
        <v>801</v>
      </c>
    </row>
    <row r="293" spans="34:51" ht="12.75">
      <c r="AH293" s="243" t="s">
        <v>593</v>
      </c>
      <c r="AI293" s="244">
        <v>6.49</v>
      </c>
      <c r="AJ293" s="244">
        <v>10.2</v>
      </c>
      <c r="AK293" s="244">
        <v>0.24</v>
      </c>
      <c r="AL293" s="244">
        <v>5.75</v>
      </c>
      <c r="AM293" s="244">
        <v>0.36</v>
      </c>
      <c r="AN293" s="244">
        <v>0.66</v>
      </c>
      <c r="AO293" s="245">
        <v>1.51</v>
      </c>
      <c r="AP293" s="245">
        <v>4.91</v>
      </c>
      <c r="AQ293" s="244">
        <v>118</v>
      </c>
      <c r="AR293" s="244">
        <v>23.2</v>
      </c>
      <c r="AS293" s="244">
        <v>4.27</v>
      </c>
      <c r="AT293" s="244">
        <v>11.4</v>
      </c>
      <c r="AU293" s="244">
        <v>3.97</v>
      </c>
      <c r="AV293" s="244">
        <v>1.33</v>
      </c>
      <c r="AW293" s="244">
        <v>0.239</v>
      </c>
      <c r="AX293" s="244">
        <v>274</v>
      </c>
      <c r="AY293" s="246" t="s">
        <v>826</v>
      </c>
    </row>
    <row r="294" spans="34:51" ht="12.75">
      <c r="AH294" s="243" t="s">
        <v>594</v>
      </c>
      <c r="AI294" s="244">
        <v>5.62</v>
      </c>
      <c r="AJ294" s="244">
        <v>10.2</v>
      </c>
      <c r="AK294" s="244">
        <v>0.25</v>
      </c>
      <c r="AL294" s="244">
        <v>4.02</v>
      </c>
      <c r="AM294" s="244">
        <v>0.395</v>
      </c>
      <c r="AN294" s="244">
        <v>0.695</v>
      </c>
      <c r="AO294" s="245">
        <v>1.03</v>
      </c>
      <c r="AP294" s="245">
        <v>6.45</v>
      </c>
      <c r="AQ294" s="244">
        <v>96.3</v>
      </c>
      <c r="AR294" s="244">
        <v>18.8</v>
      </c>
      <c r="AS294" s="244">
        <v>4.14</v>
      </c>
      <c r="AT294" s="244">
        <v>4.29</v>
      </c>
      <c r="AU294" s="244">
        <v>2.14</v>
      </c>
      <c r="AV294" s="244">
        <v>0.874</v>
      </c>
      <c r="AW294" s="244">
        <v>0.233</v>
      </c>
      <c r="AX294" s="244">
        <v>104</v>
      </c>
      <c r="AY294" s="246" t="s">
        <v>836</v>
      </c>
    </row>
    <row r="295" spans="34:51" ht="12.75">
      <c r="AH295" s="243" t="s">
        <v>595</v>
      </c>
      <c r="AI295" s="244">
        <v>4.99</v>
      </c>
      <c r="AJ295" s="244">
        <v>10.1</v>
      </c>
      <c r="AK295" s="244">
        <v>0.24</v>
      </c>
      <c r="AL295" s="244">
        <v>4.01</v>
      </c>
      <c r="AM295" s="244">
        <v>0.33</v>
      </c>
      <c r="AN295" s="244">
        <v>0.63</v>
      </c>
      <c r="AO295" s="245">
        <v>1.01</v>
      </c>
      <c r="AP295" s="245">
        <v>7.64</v>
      </c>
      <c r="AQ295" s="244">
        <v>81.9</v>
      </c>
      <c r="AR295" s="244">
        <v>16.2</v>
      </c>
      <c r="AS295" s="244">
        <v>4.05</v>
      </c>
      <c r="AT295" s="244">
        <v>3.56</v>
      </c>
      <c r="AU295" s="244">
        <v>1.78</v>
      </c>
      <c r="AV295" s="244">
        <v>0.845</v>
      </c>
      <c r="AW295" s="244">
        <v>0.156</v>
      </c>
      <c r="AX295" s="244">
        <v>85.1</v>
      </c>
      <c r="AY295" s="246" t="s">
        <v>845</v>
      </c>
    </row>
    <row r="296" spans="34:51" ht="12.75">
      <c r="AH296" s="243" t="s">
        <v>596</v>
      </c>
      <c r="AI296" s="244">
        <v>4.41</v>
      </c>
      <c r="AJ296" s="244">
        <v>9.99</v>
      </c>
      <c r="AK296" s="244">
        <v>0.23</v>
      </c>
      <c r="AL296" s="244">
        <v>4</v>
      </c>
      <c r="AM296" s="244">
        <v>0.27</v>
      </c>
      <c r="AN296" s="244">
        <v>0.57</v>
      </c>
      <c r="AO296" s="245">
        <v>0.99</v>
      </c>
      <c r="AP296" s="245">
        <v>9.25</v>
      </c>
      <c r="AQ296" s="244">
        <v>68.9</v>
      </c>
      <c r="AR296" s="244">
        <v>13.8</v>
      </c>
      <c r="AS296" s="244">
        <v>3.95</v>
      </c>
      <c r="AT296" s="244">
        <v>2.89</v>
      </c>
      <c r="AU296" s="244">
        <v>1.45</v>
      </c>
      <c r="AV296" s="244">
        <v>0.81</v>
      </c>
      <c r="AW296" s="244">
        <v>0.104</v>
      </c>
      <c r="AX296" s="244">
        <v>68.3</v>
      </c>
      <c r="AY296" s="246" t="s">
        <v>621</v>
      </c>
    </row>
    <row r="297" spans="34:51" ht="12.75">
      <c r="AH297" s="243" t="s">
        <v>597</v>
      </c>
      <c r="AI297" s="244">
        <v>3.54</v>
      </c>
      <c r="AJ297" s="244">
        <v>9.87</v>
      </c>
      <c r="AK297" s="244">
        <v>0.19</v>
      </c>
      <c r="AL297" s="244">
        <v>3.96</v>
      </c>
      <c r="AM297" s="244">
        <v>0.21</v>
      </c>
      <c r="AN297" s="244">
        <v>0.51</v>
      </c>
      <c r="AO297" s="245">
        <v>0.96</v>
      </c>
      <c r="AP297" s="245">
        <v>11.9</v>
      </c>
      <c r="AQ297" s="244">
        <v>53.8</v>
      </c>
      <c r="AR297" s="244">
        <v>10.9</v>
      </c>
      <c r="AS297" s="244">
        <v>3.9</v>
      </c>
      <c r="AT297" s="244">
        <v>2.18</v>
      </c>
      <c r="AU297" s="244">
        <v>1.1</v>
      </c>
      <c r="AV297" s="244">
        <v>0.785</v>
      </c>
      <c r="AW297" s="244">
        <v>0.0547</v>
      </c>
      <c r="AX297" s="244">
        <v>50.9</v>
      </c>
      <c r="AY297" s="246" t="s">
        <v>846</v>
      </c>
    </row>
    <row r="298" spans="34:51" ht="12.75">
      <c r="AH298" s="243" t="s">
        <v>598</v>
      </c>
      <c r="AI298" s="244">
        <v>19.7</v>
      </c>
      <c r="AJ298" s="244">
        <v>9</v>
      </c>
      <c r="AK298" s="244">
        <v>0.57</v>
      </c>
      <c r="AL298" s="244">
        <v>8.28</v>
      </c>
      <c r="AM298" s="244">
        <v>0.935</v>
      </c>
      <c r="AN298" s="244">
        <v>1.33</v>
      </c>
      <c r="AO298" s="245">
        <v>2.28</v>
      </c>
      <c r="AP298" s="245">
        <v>1.16</v>
      </c>
      <c r="AQ298" s="244">
        <v>272</v>
      </c>
      <c r="AR298" s="244">
        <v>60.4</v>
      </c>
      <c r="AS298" s="244">
        <v>3.72</v>
      </c>
      <c r="AT298" s="244">
        <v>88.6</v>
      </c>
      <c r="AU298" s="244">
        <v>21.4</v>
      </c>
      <c r="AV298" s="244">
        <v>2.12</v>
      </c>
      <c r="AW298" s="244">
        <v>5.05</v>
      </c>
      <c r="AX298" s="244">
        <v>1440</v>
      </c>
      <c r="AY298" s="246" t="s">
        <v>797</v>
      </c>
    </row>
    <row r="299" spans="34:51" ht="12.75">
      <c r="AH299" s="243" t="s">
        <v>599</v>
      </c>
      <c r="AI299" s="244">
        <v>17.1</v>
      </c>
      <c r="AJ299" s="244">
        <v>8.75</v>
      </c>
      <c r="AK299" s="244">
        <v>0.51</v>
      </c>
      <c r="AL299" s="244">
        <v>8.22</v>
      </c>
      <c r="AM299" s="244">
        <v>0.81</v>
      </c>
      <c r="AN299" s="244">
        <v>1.2</v>
      </c>
      <c r="AO299" s="245">
        <v>2.26</v>
      </c>
      <c r="AP299" s="245">
        <v>1.31</v>
      </c>
      <c r="AQ299" s="244">
        <v>228</v>
      </c>
      <c r="AR299" s="244">
        <v>52</v>
      </c>
      <c r="AS299" s="244">
        <v>3.65</v>
      </c>
      <c r="AT299" s="244">
        <v>75.1</v>
      </c>
      <c r="AU299" s="244">
        <v>18.3</v>
      </c>
      <c r="AV299" s="244">
        <v>2.1</v>
      </c>
      <c r="AW299" s="244">
        <v>3.33</v>
      </c>
      <c r="AX299" s="244">
        <v>1180</v>
      </c>
      <c r="AY299" s="246" t="s">
        <v>835</v>
      </c>
    </row>
    <row r="300" spans="34:51" ht="12.75">
      <c r="AH300" s="243" t="s">
        <v>600</v>
      </c>
      <c r="AI300" s="244">
        <v>14.1</v>
      </c>
      <c r="AJ300" s="244">
        <v>8.5</v>
      </c>
      <c r="AK300" s="244">
        <v>0.4</v>
      </c>
      <c r="AL300" s="244">
        <v>8.11</v>
      </c>
      <c r="AM300" s="244">
        <v>0.685</v>
      </c>
      <c r="AN300" s="244">
        <v>1.08</v>
      </c>
      <c r="AO300" s="245">
        <v>2.23</v>
      </c>
      <c r="AP300" s="245">
        <v>1.53</v>
      </c>
      <c r="AQ300" s="244">
        <v>184</v>
      </c>
      <c r="AR300" s="244">
        <v>43.2</v>
      </c>
      <c r="AS300" s="244">
        <v>3.61</v>
      </c>
      <c r="AT300" s="244">
        <v>60.9</v>
      </c>
      <c r="AU300" s="244">
        <v>15</v>
      </c>
      <c r="AV300" s="244">
        <v>2.08</v>
      </c>
      <c r="AW300" s="244">
        <v>1.96</v>
      </c>
      <c r="AX300" s="244">
        <v>930</v>
      </c>
      <c r="AY300" s="246" t="s">
        <v>776</v>
      </c>
    </row>
    <row r="301" spans="34:51" ht="12.75">
      <c r="AH301" s="243" t="s">
        <v>601</v>
      </c>
      <c r="AI301" s="244">
        <v>11.7</v>
      </c>
      <c r="AJ301" s="244">
        <v>8.25</v>
      </c>
      <c r="AK301" s="244">
        <v>0.36</v>
      </c>
      <c r="AL301" s="244">
        <v>8.07</v>
      </c>
      <c r="AM301" s="244">
        <v>0.56</v>
      </c>
      <c r="AN301" s="244">
        <v>0.954</v>
      </c>
      <c r="AO301" s="245">
        <v>2.21</v>
      </c>
      <c r="AP301" s="245">
        <v>1.83</v>
      </c>
      <c r="AQ301" s="244">
        <v>146</v>
      </c>
      <c r="AR301" s="244">
        <v>35.5</v>
      </c>
      <c r="AS301" s="244">
        <v>3.53</v>
      </c>
      <c r="AT301" s="244">
        <v>49.1</v>
      </c>
      <c r="AU301" s="244">
        <v>12.2</v>
      </c>
      <c r="AV301" s="244">
        <v>2.04</v>
      </c>
      <c r="AW301" s="244">
        <v>1.12</v>
      </c>
      <c r="AX301" s="244">
        <v>726</v>
      </c>
      <c r="AY301" s="246" t="s">
        <v>792</v>
      </c>
    </row>
    <row r="302" spans="34:51" ht="12.75">
      <c r="AH302" s="243" t="s">
        <v>602</v>
      </c>
      <c r="AI302" s="244">
        <v>10.3</v>
      </c>
      <c r="AJ302" s="244">
        <v>8.12</v>
      </c>
      <c r="AK302" s="244">
        <v>0.31</v>
      </c>
      <c r="AL302" s="244">
        <v>8.02</v>
      </c>
      <c r="AM302" s="244">
        <v>0.495</v>
      </c>
      <c r="AN302" s="244">
        <v>0.889</v>
      </c>
      <c r="AO302" s="245">
        <v>2.2</v>
      </c>
      <c r="AP302" s="245">
        <v>2.05</v>
      </c>
      <c r="AQ302" s="244">
        <v>127</v>
      </c>
      <c r="AR302" s="244">
        <v>31.2</v>
      </c>
      <c r="AS302" s="244">
        <v>3.51</v>
      </c>
      <c r="AT302" s="244">
        <v>42.6</v>
      </c>
      <c r="AU302" s="244">
        <v>10.6</v>
      </c>
      <c r="AV302" s="244">
        <v>2.03</v>
      </c>
      <c r="AW302" s="244">
        <v>0.769</v>
      </c>
      <c r="AX302" s="244">
        <v>619</v>
      </c>
      <c r="AY302" s="246" t="s">
        <v>793</v>
      </c>
    </row>
    <row r="303" spans="34:51" ht="12.75">
      <c r="AH303" s="243" t="s">
        <v>603</v>
      </c>
      <c r="AI303" s="244">
        <v>9.12</v>
      </c>
      <c r="AJ303" s="244">
        <v>8</v>
      </c>
      <c r="AK303" s="244">
        <v>0.285</v>
      </c>
      <c r="AL303" s="244">
        <v>8</v>
      </c>
      <c r="AM303" s="244">
        <v>0.435</v>
      </c>
      <c r="AN303" s="244">
        <v>0.829</v>
      </c>
      <c r="AO303" s="245">
        <v>2.18</v>
      </c>
      <c r="AP303" s="245">
        <v>2.3</v>
      </c>
      <c r="AQ303" s="244">
        <v>110</v>
      </c>
      <c r="AR303" s="244">
        <v>27.5</v>
      </c>
      <c r="AS303" s="244">
        <v>3.47</v>
      </c>
      <c r="AT303" s="244">
        <v>37.1</v>
      </c>
      <c r="AU303" s="244">
        <v>9.27</v>
      </c>
      <c r="AV303" s="244">
        <v>2.02</v>
      </c>
      <c r="AW303" s="244">
        <v>0.536</v>
      </c>
      <c r="AX303" s="244">
        <v>531</v>
      </c>
      <c r="AY303" s="246" t="s">
        <v>800</v>
      </c>
    </row>
    <row r="304" spans="34:51" ht="12.75">
      <c r="AH304" s="243" t="s">
        <v>604</v>
      </c>
      <c r="AI304" s="244">
        <v>8.24</v>
      </c>
      <c r="AJ304" s="244">
        <v>8.06</v>
      </c>
      <c r="AK304" s="244">
        <v>0.285</v>
      </c>
      <c r="AL304" s="244">
        <v>6.54</v>
      </c>
      <c r="AM304" s="244">
        <v>0.465</v>
      </c>
      <c r="AN304" s="244">
        <v>0.859</v>
      </c>
      <c r="AO304" s="245">
        <v>1.77</v>
      </c>
      <c r="AP304" s="245">
        <v>2.65</v>
      </c>
      <c r="AQ304" s="244">
        <v>98</v>
      </c>
      <c r="AR304" s="244">
        <v>24.3</v>
      </c>
      <c r="AS304" s="244">
        <v>3.45</v>
      </c>
      <c r="AT304" s="244">
        <v>21.7</v>
      </c>
      <c r="AU304" s="244">
        <v>6.63</v>
      </c>
      <c r="AV304" s="244">
        <v>1.62</v>
      </c>
      <c r="AW304" s="244">
        <v>0.537</v>
      </c>
      <c r="AX304" s="244">
        <v>313</v>
      </c>
      <c r="AY304" s="246" t="s">
        <v>847</v>
      </c>
    </row>
    <row r="305" spans="34:51" ht="12.75">
      <c r="AH305" s="243" t="s">
        <v>605</v>
      </c>
      <c r="AI305" s="244">
        <v>7.08</v>
      </c>
      <c r="AJ305" s="244">
        <v>7.93</v>
      </c>
      <c r="AK305" s="244">
        <v>0.245</v>
      </c>
      <c r="AL305" s="244">
        <v>6.5</v>
      </c>
      <c r="AM305" s="244">
        <v>0.4</v>
      </c>
      <c r="AN305" s="244">
        <v>0.794</v>
      </c>
      <c r="AO305" s="245">
        <v>1.76</v>
      </c>
      <c r="AP305" s="245">
        <v>3.05</v>
      </c>
      <c r="AQ305" s="244">
        <v>82.7</v>
      </c>
      <c r="AR305" s="244">
        <v>20.9</v>
      </c>
      <c r="AS305" s="244">
        <v>3.42</v>
      </c>
      <c r="AT305" s="244">
        <v>18.3</v>
      </c>
      <c r="AU305" s="244">
        <v>5.63</v>
      </c>
      <c r="AV305" s="244">
        <v>1.61</v>
      </c>
      <c r="AW305" s="244">
        <v>0.346</v>
      </c>
      <c r="AX305" s="244">
        <v>259</v>
      </c>
      <c r="AY305" s="246" t="s">
        <v>409</v>
      </c>
    </row>
    <row r="306" spans="34:51" ht="12.75">
      <c r="AH306" s="243" t="s">
        <v>606</v>
      </c>
      <c r="AI306" s="244">
        <v>6.16</v>
      </c>
      <c r="AJ306" s="244">
        <v>8.28</v>
      </c>
      <c r="AK306" s="244">
        <v>0.25</v>
      </c>
      <c r="AL306" s="244">
        <v>5.27</v>
      </c>
      <c r="AM306" s="244">
        <v>0.4</v>
      </c>
      <c r="AN306" s="244">
        <v>0.7</v>
      </c>
      <c r="AO306" s="245">
        <v>1.41</v>
      </c>
      <c r="AP306" s="245">
        <v>3.93</v>
      </c>
      <c r="AQ306" s="244">
        <v>75.3</v>
      </c>
      <c r="AR306" s="244">
        <v>18.2</v>
      </c>
      <c r="AS306" s="244">
        <v>3.49</v>
      </c>
      <c r="AT306" s="244">
        <v>9.77</v>
      </c>
      <c r="AU306" s="244">
        <v>3.71</v>
      </c>
      <c r="AV306" s="244">
        <v>1.26</v>
      </c>
      <c r="AW306" s="244">
        <v>0.282</v>
      </c>
      <c r="AX306" s="244">
        <v>152</v>
      </c>
      <c r="AY306" s="246" t="s">
        <v>429</v>
      </c>
    </row>
    <row r="307" spans="34:51" ht="12.75">
      <c r="AH307" s="243" t="s">
        <v>607</v>
      </c>
      <c r="AI307" s="244">
        <v>5.26</v>
      </c>
      <c r="AJ307" s="244">
        <v>8.14</v>
      </c>
      <c r="AK307" s="244">
        <v>0.23</v>
      </c>
      <c r="AL307" s="244">
        <v>5.25</v>
      </c>
      <c r="AM307" s="244">
        <v>0.33</v>
      </c>
      <c r="AN307" s="244">
        <v>0.63</v>
      </c>
      <c r="AO307" s="245">
        <v>1.39</v>
      </c>
      <c r="AP307" s="245">
        <v>4.7</v>
      </c>
      <c r="AQ307" s="244">
        <v>61.9</v>
      </c>
      <c r="AR307" s="244">
        <v>15.2</v>
      </c>
      <c r="AS307" s="244">
        <v>3.43</v>
      </c>
      <c r="AT307" s="244">
        <v>7.97</v>
      </c>
      <c r="AU307" s="244">
        <v>3.04</v>
      </c>
      <c r="AV307" s="244">
        <v>1.23</v>
      </c>
      <c r="AW307" s="244">
        <v>0.172</v>
      </c>
      <c r="AX307" s="244">
        <v>122</v>
      </c>
      <c r="AY307" s="246" t="s">
        <v>461</v>
      </c>
    </row>
    <row r="308" spans="34:51" ht="12.75">
      <c r="AH308" s="243" t="s">
        <v>608</v>
      </c>
      <c r="AI308" s="244">
        <v>4.44</v>
      </c>
      <c r="AJ308" s="244">
        <v>8.11</v>
      </c>
      <c r="AK308" s="244">
        <v>0.245</v>
      </c>
      <c r="AL308" s="244">
        <v>4.01</v>
      </c>
      <c r="AM308" s="244">
        <v>0.315</v>
      </c>
      <c r="AN308" s="244">
        <v>0.615</v>
      </c>
      <c r="AO308" s="245">
        <v>1.03</v>
      </c>
      <c r="AP308" s="245">
        <v>6.41</v>
      </c>
      <c r="AQ308" s="244">
        <v>48</v>
      </c>
      <c r="AR308" s="244">
        <v>11.8</v>
      </c>
      <c r="AS308" s="244">
        <v>3.29</v>
      </c>
      <c r="AT308" s="244">
        <v>3.41</v>
      </c>
      <c r="AU308" s="244">
        <v>1.7</v>
      </c>
      <c r="AV308" s="244">
        <v>0.876</v>
      </c>
      <c r="AW308" s="244">
        <v>0.137</v>
      </c>
      <c r="AX308" s="244">
        <v>51.8</v>
      </c>
      <c r="AY308" s="246" t="s">
        <v>621</v>
      </c>
    </row>
    <row r="309" spans="34:51" ht="12.75">
      <c r="AH309" s="243" t="s">
        <v>609</v>
      </c>
      <c r="AI309" s="244">
        <v>3.84</v>
      </c>
      <c r="AJ309" s="244">
        <v>7.99</v>
      </c>
      <c r="AK309" s="244">
        <v>0.23</v>
      </c>
      <c r="AL309" s="244">
        <v>4</v>
      </c>
      <c r="AM309" s="244">
        <v>0.255</v>
      </c>
      <c r="AN309" s="244">
        <v>0.555</v>
      </c>
      <c r="AO309" s="245">
        <v>1.01</v>
      </c>
      <c r="AP309" s="245">
        <v>7.83</v>
      </c>
      <c r="AQ309" s="244">
        <v>39.6</v>
      </c>
      <c r="AR309" s="244">
        <v>9.91</v>
      </c>
      <c r="AS309" s="244">
        <v>3.21</v>
      </c>
      <c r="AT309" s="244">
        <v>2.73</v>
      </c>
      <c r="AU309" s="244">
        <v>1.37</v>
      </c>
      <c r="AV309" s="244">
        <v>0.843</v>
      </c>
      <c r="AW309" s="244">
        <v>0.0871</v>
      </c>
      <c r="AX309" s="244">
        <v>40.8</v>
      </c>
      <c r="AY309" s="246" t="s">
        <v>848</v>
      </c>
    </row>
    <row r="310" spans="34:51" ht="12.75">
      <c r="AH310" s="243" t="s">
        <v>610</v>
      </c>
      <c r="AI310" s="244">
        <v>2.96</v>
      </c>
      <c r="AJ310" s="244">
        <v>7.89</v>
      </c>
      <c r="AK310" s="244">
        <v>0.17</v>
      </c>
      <c r="AL310" s="244">
        <v>3.94</v>
      </c>
      <c r="AM310" s="244">
        <v>0.205</v>
      </c>
      <c r="AN310" s="244">
        <v>0.505</v>
      </c>
      <c r="AO310" s="245">
        <v>0.99</v>
      </c>
      <c r="AP310" s="245">
        <v>9.77</v>
      </c>
      <c r="AQ310" s="244">
        <v>30.8</v>
      </c>
      <c r="AR310" s="244">
        <v>7.81</v>
      </c>
      <c r="AS310" s="244">
        <v>3.22</v>
      </c>
      <c r="AT310" s="244">
        <v>2.09</v>
      </c>
      <c r="AU310" s="244">
        <v>1.06</v>
      </c>
      <c r="AV310" s="244">
        <v>0.841</v>
      </c>
      <c r="AW310" s="244">
        <v>0.0426</v>
      </c>
      <c r="AX310" s="244">
        <v>30.9</v>
      </c>
      <c r="AY310" s="246" t="s">
        <v>514</v>
      </c>
    </row>
    <row r="311" spans="34:51" ht="12.75">
      <c r="AH311" s="243" t="s">
        <v>611</v>
      </c>
      <c r="AI311" s="244">
        <v>7.36</v>
      </c>
      <c r="AJ311" s="244">
        <v>6.38</v>
      </c>
      <c r="AK311" s="244">
        <v>0.32</v>
      </c>
      <c r="AL311" s="244">
        <v>6.08</v>
      </c>
      <c r="AM311" s="244">
        <v>0.455</v>
      </c>
      <c r="AN311" s="244">
        <v>0.754</v>
      </c>
      <c r="AO311" s="245">
        <v>1.66</v>
      </c>
      <c r="AP311" s="245">
        <v>2.31</v>
      </c>
      <c r="AQ311" s="244">
        <v>53.6</v>
      </c>
      <c r="AR311" s="244">
        <v>16.8</v>
      </c>
      <c r="AS311" s="244">
        <v>2.7</v>
      </c>
      <c r="AT311" s="244">
        <v>17.1</v>
      </c>
      <c r="AU311" s="244">
        <v>5.61</v>
      </c>
      <c r="AV311" s="244">
        <v>1.52</v>
      </c>
      <c r="AW311" s="244">
        <v>0.47</v>
      </c>
      <c r="AX311" s="244">
        <v>150</v>
      </c>
      <c r="AY311" s="246" t="s">
        <v>849</v>
      </c>
    </row>
    <row r="312" spans="34:51" ht="12.75">
      <c r="AH312" s="243" t="s">
        <v>612</v>
      </c>
      <c r="AI312" s="244">
        <v>5.89</v>
      </c>
      <c r="AJ312" s="244">
        <v>6.2</v>
      </c>
      <c r="AK312" s="244">
        <v>0.26</v>
      </c>
      <c r="AL312" s="244">
        <v>6.02</v>
      </c>
      <c r="AM312" s="244">
        <v>0.365</v>
      </c>
      <c r="AN312" s="244">
        <v>0.664</v>
      </c>
      <c r="AO312" s="245">
        <v>1.64</v>
      </c>
      <c r="AP312" s="245">
        <v>2.82</v>
      </c>
      <c r="AQ312" s="244">
        <v>41.5</v>
      </c>
      <c r="AR312" s="244">
        <v>13.4</v>
      </c>
      <c r="AS312" s="244">
        <v>2.66</v>
      </c>
      <c r="AT312" s="244">
        <v>13.3</v>
      </c>
      <c r="AU312" s="244">
        <v>4.41</v>
      </c>
      <c r="AV312" s="244">
        <v>1.5</v>
      </c>
      <c r="AW312" s="244">
        <v>0.246</v>
      </c>
      <c r="AX312" s="244">
        <v>113</v>
      </c>
      <c r="AY312" s="246" t="s">
        <v>850</v>
      </c>
    </row>
    <row r="313" spans="34:51" ht="12.75">
      <c r="AH313" s="243" t="s">
        <v>613</v>
      </c>
      <c r="AI313" s="244">
        <v>4.74</v>
      </c>
      <c r="AJ313" s="244">
        <v>6.28</v>
      </c>
      <c r="AK313" s="244">
        <v>0.26</v>
      </c>
      <c r="AL313" s="244">
        <v>4.03</v>
      </c>
      <c r="AM313" s="244">
        <v>0.405</v>
      </c>
      <c r="AN313" s="244">
        <v>0.655</v>
      </c>
      <c r="AO313" s="245">
        <v>1.08</v>
      </c>
      <c r="AP313" s="245">
        <v>3.85</v>
      </c>
      <c r="AQ313" s="244">
        <v>32.1</v>
      </c>
      <c r="AR313" s="244">
        <v>10.2</v>
      </c>
      <c r="AS313" s="244">
        <v>2.6</v>
      </c>
      <c r="AT313" s="244">
        <v>4.43</v>
      </c>
      <c r="AU313" s="244">
        <v>2.2</v>
      </c>
      <c r="AV313" s="244">
        <v>0.967</v>
      </c>
      <c r="AW313" s="244">
        <v>0.223</v>
      </c>
      <c r="AX313" s="244">
        <v>38.2</v>
      </c>
      <c r="AY313" s="246" t="s">
        <v>837</v>
      </c>
    </row>
    <row r="314" spans="34:51" ht="12.75">
      <c r="AH314" s="243" t="s">
        <v>614</v>
      </c>
      <c r="AI314" s="244">
        <v>4.45</v>
      </c>
      <c r="AJ314" s="244">
        <v>5.99</v>
      </c>
      <c r="AK314" s="244">
        <v>0.23</v>
      </c>
      <c r="AL314" s="244">
        <v>5.99</v>
      </c>
      <c r="AM314" s="244">
        <v>0.26</v>
      </c>
      <c r="AN314" s="244">
        <v>0.559</v>
      </c>
      <c r="AO314" s="245">
        <v>1.61</v>
      </c>
      <c r="AP314" s="245">
        <v>3.85</v>
      </c>
      <c r="AQ314" s="244">
        <v>29.3</v>
      </c>
      <c r="AR314" s="244">
        <v>9.77</v>
      </c>
      <c r="AS314" s="244">
        <v>2.56</v>
      </c>
      <c r="AT314" s="244">
        <v>9.32</v>
      </c>
      <c r="AU314" s="244">
        <v>3.11</v>
      </c>
      <c r="AV314" s="244">
        <v>1.45</v>
      </c>
      <c r="AW314" s="244">
        <v>0.105</v>
      </c>
      <c r="AX314" s="244">
        <v>76.5</v>
      </c>
      <c r="AY314" s="246" t="s">
        <v>621</v>
      </c>
    </row>
    <row r="315" spans="34:51" ht="12.75">
      <c r="AH315" s="243" t="s">
        <v>615</v>
      </c>
      <c r="AI315" s="244">
        <v>3.55</v>
      </c>
      <c r="AJ315" s="244">
        <v>6.03</v>
      </c>
      <c r="AK315" s="244">
        <v>0.23</v>
      </c>
      <c r="AL315" s="244">
        <v>4</v>
      </c>
      <c r="AM315" s="244">
        <v>0.28</v>
      </c>
      <c r="AN315" s="244">
        <v>0.53</v>
      </c>
      <c r="AO315" s="245">
        <v>1.05</v>
      </c>
      <c r="AP315" s="245">
        <v>5.38</v>
      </c>
      <c r="AQ315" s="244">
        <v>22.1</v>
      </c>
      <c r="AR315" s="244">
        <v>7.31</v>
      </c>
      <c r="AS315" s="244">
        <v>2.49</v>
      </c>
      <c r="AT315" s="244">
        <v>2.99</v>
      </c>
      <c r="AU315" s="244">
        <v>1.5</v>
      </c>
      <c r="AV315" s="244">
        <v>0.918</v>
      </c>
      <c r="AW315" s="244">
        <v>0.0903</v>
      </c>
      <c r="AX315" s="244">
        <v>24.7</v>
      </c>
      <c r="AY315" s="246" t="s">
        <v>846</v>
      </c>
    </row>
    <row r="316" spans="34:51" ht="12.75">
      <c r="AH316" s="243" t="s">
        <v>616</v>
      </c>
      <c r="AI316" s="244">
        <v>2.68</v>
      </c>
      <c r="AJ316" s="244">
        <v>5.9</v>
      </c>
      <c r="AK316" s="244">
        <v>0.17</v>
      </c>
      <c r="AL316" s="244">
        <v>3.94</v>
      </c>
      <c r="AM316" s="244">
        <v>0.215</v>
      </c>
      <c r="AN316" s="244">
        <v>0.465</v>
      </c>
      <c r="AO316" s="245">
        <v>1.03</v>
      </c>
      <c r="AP316" s="245">
        <v>6.96</v>
      </c>
      <c r="AQ316" s="244">
        <v>16.4</v>
      </c>
      <c r="AR316" s="244">
        <v>5.56</v>
      </c>
      <c r="AS316" s="244">
        <v>2.47</v>
      </c>
      <c r="AT316" s="244">
        <v>2.2</v>
      </c>
      <c r="AU316" s="244">
        <v>1.11</v>
      </c>
      <c r="AV316" s="244">
        <v>0.905</v>
      </c>
      <c r="AW316" s="244">
        <v>0.0405</v>
      </c>
      <c r="AX316" s="244">
        <v>17.8</v>
      </c>
      <c r="AY316" s="246" t="s">
        <v>851</v>
      </c>
    </row>
    <row r="317" spans="34:51" ht="12.75">
      <c r="AH317" s="243" t="s">
        <v>617</v>
      </c>
      <c r="AI317" s="244">
        <v>2.51</v>
      </c>
      <c r="AJ317" s="244">
        <v>5.83</v>
      </c>
      <c r="AK317" s="244">
        <v>0.17</v>
      </c>
      <c r="AL317" s="244">
        <v>3.94</v>
      </c>
      <c r="AM317" s="244">
        <v>0.194</v>
      </c>
      <c r="AN317" s="244">
        <v>0.444</v>
      </c>
      <c r="AO317" s="244">
        <v>1.038</v>
      </c>
      <c r="AP317" s="244">
        <v>7.63</v>
      </c>
      <c r="AQ317" s="244">
        <v>14.8</v>
      </c>
      <c r="AR317" s="244">
        <v>5.08</v>
      </c>
      <c r="AS317" s="244">
        <v>2.43</v>
      </c>
      <c r="AT317" s="244">
        <v>1.98</v>
      </c>
      <c r="AU317" s="244">
        <v>1.01</v>
      </c>
      <c r="AV317" s="244">
        <v>0.889</v>
      </c>
      <c r="AW317" s="244">
        <v>0.033</v>
      </c>
      <c r="AX317" s="244">
        <v>15.7</v>
      </c>
      <c r="AY317" s="246" t="s">
        <v>852</v>
      </c>
    </row>
    <row r="318" spans="34:51" ht="12.75">
      <c r="AH318" s="243" t="s">
        <v>618</v>
      </c>
      <c r="AI318" s="244">
        <v>5.56</v>
      </c>
      <c r="AJ318" s="244">
        <v>5.15</v>
      </c>
      <c r="AK318" s="244">
        <v>0.27</v>
      </c>
      <c r="AL318" s="244">
        <v>5.03</v>
      </c>
      <c r="AM318" s="244">
        <v>0.43</v>
      </c>
      <c r="AN318" s="244">
        <v>0.73</v>
      </c>
      <c r="AO318" s="245">
        <v>1.38</v>
      </c>
      <c r="AP318" s="245">
        <v>2.38</v>
      </c>
      <c r="AQ318" s="244">
        <v>26.3</v>
      </c>
      <c r="AR318" s="244">
        <v>10.2</v>
      </c>
      <c r="AS318" s="244">
        <v>2.17</v>
      </c>
      <c r="AT318" s="244">
        <v>9.13</v>
      </c>
      <c r="AU318" s="244">
        <v>3.63</v>
      </c>
      <c r="AV318" s="244">
        <v>1.28</v>
      </c>
      <c r="AW318" s="244">
        <v>0.316</v>
      </c>
      <c r="AX318" s="244">
        <v>50.9</v>
      </c>
      <c r="AY318" s="246" t="s">
        <v>836</v>
      </c>
    </row>
    <row r="319" spans="34:51" ht="12.75">
      <c r="AH319" s="243" t="s">
        <v>619</v>
      </c>
      <c r="AI319" s="244">
        <v>4.71</v>
      </c>
      <c r="AJ319" s="244">
        <v>5.01</v>
      </c>
      <c r="AK319" s="244">
        <v>0.24</v>
      </c>
      <c r="AL319" s="244">
        <v>5</v>
      </c>
      <c r="AM319" s="244">
        <v>0.36</v>
      </c>
      <c r="AN319" s="244">
        <v>0.66</v>
      </c>
      <c r="AO319" s="245">
        <v>1.37</v>
      </c>
      <c r="AP319" s="245">
        <v>2.78</v>
      </c>
      <c r="AQ319" s="244">
        <v>21.4</v>
      </c>
      <c r="AR319" s="244">
        <v>8.55</v>
      </c>
      <c r="AS319" s="244">
        <v>2.13</v>
      </c>
      <c r="AT319" s="244">
        <v>7.51</v>
      </c>
      <c r="AU319" s="244">
        <v>3</v>
      </c>
      <c r="AV319" s="244">
        <v>1.26</v>
      </c>
      <c r="AW319" s="244">
        <v>0.192</v>
      </c>
      <c r="AX319" s="244">
        <v>40.6</v>
      </c>
      <c r="AY319" s="246" t="s">
        <v>837</v>
      </c>
    </row>
    <row r="320" spans="34:51" ht="12.75">
      <c r="AH320" s="251" t="s">
        <v>620</v>
      </c>
      <c r="AI320" s="252">
        <v>3.83</v>
      </c>
      <c r="AJ320" s="252">
        <v>4.16</v>
      </c>
      <c r="AK320" s="252">
        <v>0.28</v>
      </c>
      <c r="AL320" s="252">
        <v>4.06</v>
      </c>
      <c r="AM320" s="252">
        <v>0.345</v>
      </c>
      <c r="AN320" s="252">
        <v>0.595</v>
      </c>
      <c r="AO320" s="253">
        <v>1.1</v>
      </c>
      <c r="AP320" s="253">
        <v>2.97</v>
      </c>
      <c r="AQ320" s="252">
        <v>11.3</v>
      </c>
      <c r="AR320" s="252">
        <v>5.46</v>
      </c>
      <c r="AS320" s="252">
        <v>1.72</v>
      </c>
      <c r="AT320" s="252">
        <v>3.86</v>
      </c>
      <c r="AU320" s="252">
        <v>1.9</v>
      </c>
      <c r="AV320" s="252">
        <v>1</v>
      </c>
      <c r="AW320" s="252">
        <v>0.151</v>
      </c>
      <c r="AX320" s="252">
        <v>14</v>
      </c>
      <c r="AY320" s="254" t="s">
        <v>848</v>
      </c>
    </row>
    <row r="352" spans="34:49" ht="12.75">
      <c r="AH352" s="106"/>
      <c r="AI352" s="129"/>
      <c r="AJ352" s="129"/>
      <c r="AK352" s="129"/>
      <c r="AL352" s="129"/>
      <c r="AM352" s="129"/>
      <c r="AN352" s="129"/>
      <c r="AO352" s="129"/>
      <c r="AP352" s="129"/>
      <c r="AQ352" s="129"/>
      <c r="AR352" s="129"/>
      <c r="AS352" s="129"/>
      <c r="AT352" s="129"/>
      <c r="AU352" s="129"/>
      <c r="AV352" s="129"/>
      <c r="AW352" s="70"/>
    </row>
    <row r="353" spans="34:49" ht="12.75">
      <c r="AH353" s="106"/>
      <c r="AI353" s="106"/>
      <c r="AJ353" s="106"/>
      <c r="AK353" s="106"/>
      <c r="AL353" s="106"/>
      <c r="AM353" s="106"/>
      <c r="AN353" s="106"/>
      <c r="AO353" s="129"/>
      <c r="AP353" s="129"/>
      <c r="AQ353" s="106"/>
      <c r="AR353" s="106"/>
      <c r="AS353" s="106"/>
      <c r="AT353" s="106"/>
      <c r="AU353" s="106"/>
      <c r="AV353" s="106"/>
      <c r="AW353" s="70"/>
    </row>
    <row r="354" spans="34:49" ht="12.75">
      <c r="AH354" s="106"/>
      <c r="AI354" s="106"/>
      <c r="AJ354" s="106"/>
      <c r="AK354" s="106"/>
      <c r="AL354" s="106"/>
      <c r="AM354" s="106"/>
      <c r="AN354" s="106"/>
      <c r="AO354" s="129"/>
      <c r="AP354" s="129"/>
      <c r="AQ354" s="106"/>
      <c r="AR354" s="106"/>
      <c r="AS354" s="106"/>
      <c r="AT354" s="106"/>
      <c r="AU354" s="106"/>
      <c r="AV354" s="106"/>
      <c r="AW354" s="70"/>
    </row>
    <row r="355" spans="34:49" ht="12.75">
      <c r="AH355" s="106"/>
      <c r="AI355" s="106"/>
      <c r="AJ355" s="106"/>
      <c r="AK355" s="106"/>
      <c r="AL355" s="106"/>
      <c r="AM355" s="106"/>
      <c r="AN355" s="106"/>
      <c r="AO355" s="129"/>
      <c r="AP355" s="129"/>
      <c r="AQ355" s="106"/>
      <c r="AR355" s="106"/>
      <c r="AS355" s="106"/>
      <c r="AT355" s="106"/>
      <c r="AU355" s="106"/>
      <c r="AV355" s="106"/>
      <c r="AW355" s="70"/>
    </row>
    <row r="356" spans="34:49" ht="12.75">
      <c r="AH356" s="106"/>
      <c r="AI356" s="106"/>
      <c r="AJ356" s="106"/>
      <c r="AK356" s="106"/>
      <c r="AL356" s="106"/>
      <c r="AM356" s="106"/>
      <c r="AN356" s="106"/>
      <c r="AO356" s="129"/>
      <c r="AP356" s="129"/>
      <c r="AQ356" s="106"/>
      <c r="AR356" s="106"/>
      <c r="AS356" s="106"/>
      <c r="AT356" s="106"/>
      <c r="AU356" s="106"/>
      <c r="AV356" s="106"/>
      <c r="AW356" s="70"/>
    </row>
    <row r="357" spans="34:49" ht="12.75">
      <c r="AH357" s="106"/>
      <c r="AI357" s="106"/>
      <c r="AJ357" s="106"/>
      <c r="AK357" s="106"/>
      <c r="AL357" s="106"/>
      <c r="AM357" s="106"/>
      <c r="AN357" s="106"/>
      <c r="AO357" s="129"/>
      <c r="AP357" s="129"/>
      <c r="AQ357" s="106"/>
      <c r="AR357" s="106"/>
      <c r="AS357" s="106"/>
      <c r="AT357" s="106"/>
      <c r="AU357" s="106"/>
      <c r="AV357" s="106"/>
      <c r="AW357" s="70"/>
    </row>
    <row r="358" spans="34:49" ht="12.75">
      <c r="AH358" s="106"/>
      <c r="AI358" s="106"/>
      <c r="AJ358" s="106"/>
      <c r="AK358" s="106"/>
      <c r="AL358" s="106"/>
      <c r="AM358" s="106"/>
      <c r="AN358" s="106"/>
      <c r="AO358" s="129"/>
      <c r="AP358" s="129"/>
      <c r="AQ358" s="106"/>
      <c r="AR358" s="106"/>
      <c r="AS358" s="106"/>
      <c r="AT358" s="106"/>
      <c r="AU358" s="106"/>
      <c r="AV358" s="106"/>
      <c r="AW358" s="70"/>
    </row>
    <row r="359" spans="34:49" ht="12.75">
      <c r="AH359" s="106"/>
      <c r="AI359" s="106"/>
      <c r="AJ359" s="106"/>
      <c r="AK359" s="106"/>
      <c r="AL359" s="106"/>
      <c r="AM359" s="106"/>
      <c r="AN359" s="106"/>
      <c r="AO359" s="129"/>
      <c r="AP359" s="129"/>
      <c r="AQ359" s="106"/>
      <c r="AR359" s="106"/>
      <c r="AS359" s="106"/>
      <c r="AT359" s="106"/>
      <c r="AU359" s="106"/>
      <c r="AV359" s="106"/>
      <c r="AW359" s="70"/>
    </row>
    <row r="360" spans="34:49" ht="12.75">
      <c r="AH360" s="106"/>
      <c r="AI360" s="106"/>
      <c r="AJ360" s="106"/>
      <c r="AK360" s="106"/>
      <c r="AL360" s="106"/>
      <c r="AM360" s="106"/>
      <c r="AN360" s="106"/>
      <c r="AO360" s="106"/>
      <c r="AP360" s="106"/>
      <c r="AQ360" s="106"/>
      <c r="AR360" s="106"/>
      <c r="AS360" s="106"/>
      <c r="AT360" s="106"/>
      <c r="AU360" s="106"/>
      <c r="AV360" s="106"/>
      <c r="AW360" s="70"/>
    </row>
    <row r="361" spans="34:49" ht="12.75">
      <c r="AH361" s="106"/>
      <c r="AI361" s="106"/>
      <c r="AJ361" s="106"/>
      <c r="AK361" s="106"/>
      <c r="AL361" s="106"/>
      <c r="AM361" s="106"/>
      <c r="AN361" s="106"/>
      <c r="AO361" s="129"/>
      <c r="AP361" s="129"/>
      <c r="AQ361" s="106"/>
      <c r="AR361" s="106"/>
      <c r="AS361" s="106"/>
      <c r="AT361" s="106"/>
      <c r="AU361" s="106"/>
      <c r="AV361" s="106"/>
      <c r="AW361" s="70"/>
    </row>
    <row r="362" spans="34:49" ht="12.75">
      <c r="AH362" s="106"/>
      <c r="AI362" s="106"/>
      <c r="AJ362" s="106"/>
      <c r="AK362" s="106"/>
      <c r="AL362" s="106"/>
      <c r="AM362" s="106"/>
      <c r="AN362" s="106"/>
      <c r="AO362" s="106"/>
      <c r="AP362" s="106"/>
      <c r="AQ362" s="106"/>
      <c r="AR362" s="106"/>
      <c r="AS362" s="106"/>
      <c r="AT362" s="106"/>
      <c r="AU362" s="106"/>
      <c r="AV362" s="106"/>
      <c r="AW362" s="70"/>
    </row>
    <row r="363" spans="34:49" ht="12.75">
      <c r="AH363" s="106"/>
      <c r="AI363" s="106"/>
      <c r="AJ363" s="106"/>
      <c r="AK363" s="106"/>
      <c r="AL363" s="106"/>
      <c r="AM363" s="106"/>
      <c r="AN363" s="106"/>
      <c r="AO363" s="129"/>
      <c r="AP363" s="129"/>
      <c r="AQ363" s="106"/>
      <c r="AR363" s="106"/>
      <c r="AS363" s="106"/>
      <c r="AT363" s="106"/>
      <c r="AU363" s="106"/>
      <c r="AV363" s="106"/>
      <c r="AW363" s="70"/>
    </row>
    <row r="364" spans="34:49" ht="12.75">
      <c r="AH364" s="106"/>
      <c r="AI364" s="106"/>
      <c r="AJ364" s="106"/>
      <c r="AK364" s="106"/>
      <c r="AL364" s="106"/>
      <c r="AM364" s="106"/>
      <c r="AN364" s="106"/>
      <c r="AO364" s="106"/>
      <c r="AP364" s="106"/>
      <c r="AQ364" s="106"/>
      <c r="AR364" s="106"/>
      <c r="AS364" s="106"/>
      <c r="AT364" s="106"/>
      <c r="AU364" s="106"/>
      <c r="AV364" s="106"/>
      <c r="AW364" s="70"/>
    </row>
    <row r="365" spans="34:49" ht="12.75">
      <c r="AH365" s="106"/>
      <c r="AI365" s="106"/>
      <c r="AJ365" s="106"/>
      <c r="AK365" s="106"/>
      <c r="AL365" s="106"/>
      <c r="AM365" s="106"/>
      <c r="AN365" s="106"/>
      <c r="AO365" s="129"/>
      <c r="AP365" s="129"/>
      <c r="AQ365" s="106"/>
      <c r="AR365" s="106"/>
      <c r="AS365" s="106"/>
      <c r="AT365" s="106"/>
      <c r="AU365" s="106"/>
      <c r="AV365" s="106"/>
      <c r="AW365" s="70"/>
    </row>
    <row r="366" spans="34:49" ht="12.75">
      <c r="AH366" s="106"/>
      <c r="AI366" s="106"/>
      <c r="AJ366" s="106"/>
      <c r="AK366" s="106"/>
      <c r="AL366" s="106"/>
      <c r="AM366" s="106"/>
      <c r="AN366" s="106"/>
      <c r="AO366" s="129"/>
      <c r="AP366" s="129"/>
      <c r="AQ366" s="106"/>
      <c r="AR366" s="106"/>
      <c r="AS366" s="106"/>
      <c r="AT366" s="106"/>
      <c r="AU366" s="106"/>
      <c r="AV366" s="106"/>
      <c r="AW366" s="70"/>
    </row>
    <row r="367" spans="34:49" ht="12.75">
      <c r="AH367" s="106"/>
      <c r="AI367" s="106"/>
      <c r="AJ367" s="106"/>
      <c r="AK367" s="106"/>
      <c r="AL367" s="106"/>
      <c r="AM367" s="106"/>
      <c r="AN367" s="106"/>
      <c r="AO367" s="129"/>
      <c r="AP367" s="129"/>
      <c r="AQ367" s="106"/>
      <c r="AR367" s="106"/>
      <c r="AS367" s="106"/>
      <c r="AT367" s="106"/>
      <c r="AU367" s="106"/>
      <c r="AV367" s="106"/>
      <c r="AW367" s="70"/>
    </row>
    <row r="368" spans="34:49" ht="12.75">
      <c r="AH368" s="106"/>
      <c r="AI368" s="106"/>
      <c r="AJ368" s="106"/>
      <c r="AK368" s="106"/>
      <c r="AL368" s="106"/>
      <c r="AM368" s="106"/>
      <c r="AN368" s="106"/>
      <c r="AO368" s="129"/>
      <c r="AP368" s="129"/>
      <c r="AQ368" s="106"/>
      <c r="AR368" s="106"/>
      <c r="AS368" s="106"/>
      <c r="AT368" s="106"/>
      <c r="AU368" s="106"/>
      <c r="AV368" s="106"/>
      <c r="AW368" s="70"/>
    </row>
    <row r="369" spans="34:49" ht="12.75">
      <c r="AH369" s="106"/>
      <c r="AI369" s="129"/>
      <c r="AJ369" s="129"/>
      <c r="AK369" s="129"/>
      <c r="AL369" s="130"/>
      <c r="AM369" s="129"/>
      <c r="AN369" s="129"/>
      <c r="AO369" s="129"/>
      <c r="AP369" s="129"/>
      <c r="AQ369" s="129"/>
      <c r="AR369" s="129"/>
      <c r="AS369" s="129"/>
      <c r="AT369" s="129"/>
      <c r="AU369" s="129"/>
      <c r="AV369" s="129"/>
      <c r="AW369" s="70"/>
    </row>
    <row r="370" spans="34:49" ht="12.75">
      <c r="AH370" s="106"/>
      <c r="AI370" s="129"/>
      <c r="AJ370" s="129"/>
      <c r="AK370" s="129"/>
      <c r="AL370" s="130"/>
      <c r="AM370" s="129"/>
      <c r="AN370" s="129"/>
      <c r="AO370" s="129"/>
      <c r="AP370" s="129"/>
      <c r="AQ370" s="129"/>
      <c r="AR370" s="129"/>
      <c r="AS370" s="129"/>
      <c r="AT370" s="129"/>
      <c r="AU370" s="129"/>
      <c r="AV370" s="129"/>
      <c r="AW370" s="70"/>
    </row>
    <row r="371" spans="34:49" ht="12.75">
      <c r="AH371" s="106"/>
      <c r="AI371" s="129"/>
      <c r="AJ371" s="129"/>
      <c r="AK371" s="129"/>
      <c r="AL371" s="130"/>
      <c r="AM371" s="129"/>
      <c r="AN371" s="129"/>
      <c r="AO371" s="129"/>
      <c r="AP371" s="129"/>
      <c r="AQ371" s="129"/>
      <c r="AR371" s="129"/>
      <c r="AS371" s="129"/>
      <c r="AT371" s="129"/>
      <c r="AU371" s="129"/>
      <c r="AV371" s="129"/>
      <c r="AW371" s="70"/>
    </row>
    <row r="372" spans="34:49" ht="12.75">
      <c r="AH372" s="106"/>
      <c r="AI372" s="129"/>
      <c r="AJ372" s="129"/>
      <c r="AK372" s="129"/>
      <c r="AL372" s="129"/>
      <c r="AM372" s="129"/>
      <c r="AN372" s="129"/>
      <c r="AO372" s="129"/>
      <c r="AP372" s="129"/>
      <c r="AQ372" s="129"/>
      <c r="AR372" s="129"/>
      <c r="AS372" s="129"/>
      <c r="AT372" s="129"/>
      <c r="AU372" s="129"/>
      <c r="AV372" s="129"/>
      <c r="AW372" s="70"/>
    </row>
    <row r="373" spans="34:49" ht="12.75">
      <c r="AH373" s="106"/>
      <c r="AI373" s="106"/>
      <c r="AJ373" s="106"/>
      <c r="AK373" s="106"/>
      <c r="AL373" s="106"/>
      <c r="AM373" s="106"/>
      <c r="AN373" s="106"/>
      <c r="AO373" s="129"/>
      <c r="AP373" s="129"/>
      <c r="AQ373" s="106"/>
      <c r="AR373" s="106"/>
      <c r="AS373" s="106"/>
      <c r="AT373" s="106"/>
      <c r="AU373" s="106"/>
      <c r="AV373" s="106"/>
      <c r="AW373" s="70"/>
    </row>
    <row r="374" spans="34:49" ht="12.75">
      <c r="AH374" s="106"/>
      <c r="AI374" s="106"/>
      <c r="AJ374" s="106"/>
      <c r="AK374" s="106"/>
      <c r="AL374" s="106"/>
      <c r="AM374" s="106"/>
      <c r="AN374" s="106"/>
      <c r="AO374" s="129"/>
      <c r="AP374" s="129"/>
      <c r="AQ374" s="106"/>
      <c r="AR374" s="106"/>
      <c r="AS374" s="106"/>
      <c r="AT374" s="106"/>
      <c r="AU374" s="106"/>
      <c r="AV374" s="106"/>
      <c r="AW374" s="70"/>
    </row>
    <row r="375" spans="34:49" ht="12.75">
      <c r="AH375" s="106"/>
      <c r="AI375" s="106"/>
      <c r="AJ375" s="106"/>
      <c r="AK375" s="106"/>
      <c r="AL375" s="106"/>
      <c r="AM375" s="106"/>
      <c r="AN375" s="106"/>
      <c r="AO375" s="129"/>
      <c r="AP375" s="129"/>
      <c r="AQ375" s="106"/>
      <c r="AR375" s="106"/>
      <c r="AS375" s="106"/>
      <c r="AT375" s="106"/>
      <c r="AU375" s="106"/>
      <c r="AV375" s="106"/>
      <c r="AW375" s="70"/>
    </row>
    <row r="376" spans="34:49" ht="12.75">
      <c r="AH376" s="106"/>
      <c r="AI376" s="106"/>
      <c r="AJ376" s="106"/>
      <c r="AK376" s="106"/>
      <c r="AL376" s="106"/>
      <c r="AM376" s="106"/>
      <c r="AN376" s="106"/>
      <c r="AO376" s="129"/>
      <c r="AP376" s="129"/>
      <c r="AQ376" s="106"/>
      <c r="AR376" s="106"/>
      <c r="AS376" s="106"/>
      <c r="AT376" s="106"/>
      <c r="AU376" s="106"/>
      <c r="AV376" s="106"/>
      <c r="AW376" s="70"/>
    </row>
    <row r="377" spans="34:49" ht="12.75">
      <c r="AH377" s="106"/>
      <c r="AI377" s="106"/>
      <c r="AJ377" s="106"/>
      <c r="AK377" s="106"/>
      <c r="AL377" s="106"/>
      <c r="AM377" s="106"/>
      <c r="AN377" s="106"/>
      <c r="AO377" s="129"/>
      <c r="AP377" s="129"/>
      <c r="AQ377" s="106"/>
      <c r="AR377" s="106"/>
      <c r="AS377" s="106"/>
      <c r="AT377" s="106"/>
      <c r="AU377" s="106"/>
      <c r="AV377" s="106"/>
      <c r="AW377" s="70"/>
    </row>
    <row r="378" spans="34:49" ht="12.75">
      <c r="AH378" s="106"/>
      <c r="AI378" s="106"/>
      <c r="AJ378" s="106"/>
      <c r="AK378" s="106"/>
      <c r="AL378" s="106"/>
      <c r="AM378" s="106"/>
      <c r="AN378" s="106"/>
      <c r="AO378" s="129"/>
      <c r="AP378" s="129"/>
      <c r="AQ378" s="106"/>
      <c r="AR378" s="106"/>
      <c r="AS378" s="106"/>
      <c r="AT378" s="106"/>
      <c r="AU378" s="106"/>
      <c r="AV378" s="106"/>
      <c r="AW378" s="70"/>
    </row>
    <row r="379" spans="34:49" ht="12.75">
      <c r="AH379" s="106"/>
      <c r="AI379" s="106"/>
      <c r="AJ379" s="106"/>
      <c r="AK379" s="106"/>
      <c r="AL379" s="106"/>
      <c r="AM379" s="106"/>
      <c r="AN379" s="106"/>
      <c r="AO379" s="129"/>
      <c r="AP379" s="129"/>
      <c r="AQ379" s="106"/>
      <c r="AR379" s="106"/>
      <c r="AS379" s="106"/>
      <c r="AT379" s="106"/>
      <c r="AU379" s="106"/>
      <c r="AV379" s="106"/>
      <c r="AW379" s="70"/>
    </row>
  </sheetData>
  <sheetProtection sheet="1" objects="1" scenarios="1"/>
  <conditionalFormatting sqref="BB143 BB129 BE7:BE10 BE12:BE15 BE17 BE19:BE21 BB54 BB61 BB64 BB70 BB84 BB90 BB93 BB99 BB107 BB136">
    <cfRule type="cellIs" priority="1" dxfId="0" operator="greaterThan" stopIfTrue="1">
      <formula>1</formula>
    </cfRule>
  </conditionalFormatting>
  <conditionalFormatting sqref="R133 E138">
    <cfRule type="cellIs" priority="2" dxfId="0" operator="notEqual" stopIfTrue="1">
      <formula>"OK"</formula>
    </cfRule>
  </conditionalFormatting>
  <dataValidations count="14">
    <dataValidation type="list" allowBlank="1" showInputMessage="1" showErrorMessage="1" sqref="C12">
      <formula1>$L$3:$L$5</formula1>
    </dataValidation>
    <dataValidation type="list" allowBlank="1" showInputMessage="1" showErrorMessage="1" prompt="User may either select desired size from pick box or type in the size designation.  Note:  input is not case sensitive." sqref="C10">
      <formula1>$AH$5:$AH$320</formula1>
    </dataValidation>
    <dataValidation type="decimal" operator="greaterThan" allowBlank="1" showInputMessage="1" showErrorMessage="1" sqref="C19">
      <formula1>0</formula1>
    </dataValidation>
    <dataValidation type="decimal" operator="greaterThanOrEqual" allowBlank="1" showInputMessage="1" showErrorMessage="1" sqref="C16 C20:C21">
      <formula1>0</formula1>
    </dataValidation>
    <dataValidation type="decimal" operator="greaterThanOrEqual" allowBlank="1" showInputMessage="1" showErrorMessage="1" prompt="The distance 'a' is the distance from the edge of the beam flange to the point of wheel load application, which is assumed at the center of the wheel contact to the bottom flange." sqref="C26">
      <formula1>0</formula1>
    </dataValidation>
    <dataValidation type="decimal" operator="greaterThanOrEqual" allowBlank="1" showInputMessage="1" showErrorMessage="1" prompt="Typically the value of the vertical impact factor, 'Vi', to be used is 10 - 25%." sqref="C22">
      <formula1>0</formula1>
    </dataValidation>
    <dataValidation type="decimal" operator="greaterThanOrEqual" allowBlank="1" showInputMessage="1" showErrorMessage="1" prompt="Typically the value of the horizontal load factor, 'HLF', to be used is 0 - 10%." sqref="C23">
      <formula1>0</formula1>
    </dataValidation>
    <dataValidation type="decimal" operator="greaterThanOrEqual" allowBlank="1" showInputMessage="1" showErrorMessage="1" prompt="'Lbo' is the unbraced length of the overhang (cantilever) portion of the monorail beam.  The user may elect to input a value of Lbo = Lo+L from cell BC26, along with inputting the corresponding calculated value of 'Cbo' from cell BC28." sqref="C17">
      <formula1>0</formula1>
    </dataValidation>
    <dataValidation type="decimal" operator="greaterThan" allowBlank="1" showInputMessage="1" showErrorMessage="1" prompt="The value of the bending coefficient, 'Cbo', applicable to the overhang (cantilever) portion of the monorail beam may be assumed to be = 1.0.  However, the user may wish to use and input the computed value of 'Cbo' from cell BC28." sqref="C18">
      <formula1>0</formula1>
    </dataValidation>
    <dataValidation type="decimal" operator="greaterThan" allowBlank="1" showInputMessage="1" showErrorMessage="1" prompt="The value of the bending coefficient, 'Cb', applicable to the simple-span portion of the monorail beam typically may be assumed to be = 1.0." sqref="C15">
      <formula1>0</formula1>
    </dataValidation>
    <dataValidation type="decimal" operator="greaterThan" allowBlank="1" showInputMessage="1" showErrorMessage="1" error="Beam simple-span, 'L', must be &gt; 0" sqref="C13">
      <formula1>0</formula1>
    </dataValidation>
    <dataValidation type="decimal" operator="greaterThan" allowBlank="1" showInputMessage="1" showErrorMessage="1" prompt="'Lb' is the unbraced length of the simple-span portion of the monorail beam.  Typically 'Lb' = 'L'." error="Simple-span unbraced length, 'Lb', must be &gt; 0" sqref="C14">
      <formula1>0</formula1>
    </dataValidation>
    <dataValidation type="list" allowBlank="1" showInputMessage="1" showErrorMessage="1" prompt="Input the total number of wheels, 'Nw', for the trolley, considered in pairs of wheels, one each side of the web of the monorail beam.  Nw = 2 indicates 1-pair of wheels, while Nw = 4 indicates 2-pairs of wheels." sqref="C24">
      <formula1>$L$6:$L$7</formula1>
    </dataValidation>
    <dataValidation type="decimal" operator="greaterThanOrEqual" allowBlank="1" showInputMessage="1" showErrorMessage="1" prompt="Wheel Spacing, S, is the distance between 2-pairs of wheels of the trolley in the direction of the monorail beam span.  &#10;For a trolley with only 1-pair of wheels  (1 wheel on each side of web of monorail beam), the user should input a value of S = 0." sqref="C25">
      <formula1>0</formula1>
    </dataValidation>
  </dataValidations>
  <printOptions/>
  <pageMargins left="1" right="0.5" top="1" bottom="1" header="0.5" footer="0.5"/>
  <pageSetup horizontalDpi="600" verticalDpi="600" orientation="portrait" scale="94" r:id="rId4"/>
  <headerFooter alignWithMargins="0">
    <oddHeader>&amp;R"MONORAIL.xls" Program
Version 2.1</oddHeader>
    <oddFooter>&amp;C&amp;P of &amp;N&amp;R&amp;D  &amp;T</oddFooter>
  </headerFooter>
  <rowBreaks count="2" manualBreakCount="2">
    <brk id="55" max="9" man="1"/>
    <brk id="110"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"MONORAIL" Program</dc:title>
  <dc:subject/>
  <dc:creator>Alex Tomanovich, P.E. - 151 Shadow Lane, Lyman SC 29365 - Home: 864-968-2699 - Email: ATomanovich@bellsouth.net</dc:creator>
  <cp:keywords/>
  <dc:description>Monorail Beam Analysis</dc:description>
  <cp:lastModifiedBy>Fluor</cp:lastModifiedBy>
  <cp:lastPrinted>2014-12-17T12:59:59Z</cp:lastPrinted>
  <dcterms:created xsi:type="dcterms:W3CDTF">2006-12-13T15:51:00Z</dcterms:created>
  <dcterms:modified xsi:type="dcterms:W3CDTF">2014-12-31T11:41:12Z</dcterms:modified>
  <cp:category>Structural Engineering Analysis/Design</cp:category>
  <cp:version/>
  <cp:contentType/>
  <cp:contentStatus/>
</cp:coreProperties>
</file>